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en_skoroszyt"/>
  <mc:AlternateContent xmlns:mc="http://schemas.openxmlformats.org/markup-compatibility/2006">
    <mc:Choice Requires="x15">
      <x15ac:absPath xmlns:x15ac="http://schemas.microsoft.com/office/spreadsheetml/2010/11/ac" url="Y:\Finance\Raporty Finansowe\Bilans 2021\III kwartał 2021\do publikacji\"/>
    </mc:Choice>
  </mc:AlternateContent>
  <xr:revisionPtr revIDLastSave="0" documentId="13_ncr:1_{7973E0FA-FD2C-4D35-8720-FFD06C8F0FBC}" xr6:coauthVersionLast="47" xr6:coauthVersionMax="47" xr10:uidLastSave="{00000000-0000-0000-0000-000000000000}"/>
  <bookViews>
    <workbookView xWindow="-108" yWindow="-108" windowWidth="23256" windowHeight="12576" tabRatio="911" activeTab="3" xr2:uid="{00000000-000D-0000-FFFF-FFFF00000000}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CLAIMS" sheetId="16" r:id="rId8"/>
    <sheet name="Hide" sheetId="28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S_Cons">Hide!$A$64:$C$97</definedName>
    <definedName name="Chosen">HOME!$A$5</definedName>
    <definedName name="Language">Hide!$A$4:$A$5</definedName>
    <definedName name="ToC_Headings">Hide!$A$9:$C$22</definedName>
  </definedNames>
  <calcPr calcId="191029" calcMode="autoNoTable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5" i="16" l="1"/>
  <c r="BZ5" i="16"/>
  <c r="BV5" i="16"/>
  <c r="BQ5" i="16"/>
  <c r="BM5" i="16"/>
  <c r="BI5" i="16"/>
  <c r="BE5" i="16"/>
  <c r="AH22" i="9"/>
  <c r="AH20" i="9"/>
  <c r="CD4" i="16"/>
  <c r="BR5" i="16" l="1"/>
  <c r="X35" i="10"/>
  <c r="X8" i="10"/>
  <c r="AG25" i="9" l="1"/>
  <c r="AG26" i="9"/>
  <c r="AG27" i="9"/>
  <c r="AG28" i="9"/>
  <c r="BZ4" i="16"/>
  <c r="V45" i="21" l="1"/>
  <c r="BV4" i="16" l="1"/>
  <c r="S39" i="11" l="1"/>
  <c r="S37" i="11"/>
  <c r="BR4" i="16" l="1"/>
  <c r="BQ4" i="16"/>
  <c r="A19" i="11" l="1"/>
  <c r="AB24" i="20" l="1"/>
  <c r="Q51" i="11" l="1"/>
  <c r="Q34" i="11"/>
  <c r="Q32" i="11"/>
  <c r="Q18" i="11"/>
  <c r="T17" i="10"/>
  <c r="T16" i="10"/>
  <c r="T15" i="10"/>
  <c r="BM4" i="16" l="1"/>
  <c r="BE4" i="16"/>
  <c r="BI4" i="16" l="1"/>
  <c r="N33" i="11" l="1"/>
  <c r="AZ4" i="16" l="1"/>
  <c r="N58" i="11" l="1"/>
  <c r="AV4" i="16" l="1"/>
  <c r="R4" i="16" l="1"/>
  <c r="AR4" i="16" l="1"/>
  <c r="N55" i="21" l="1"/>
  <c r="AE4" i="16" l="1"/>
  <c r="AN4" i="16"/>
  <c r="BA4" i="16" s="1"/>
  <c r="A30" i="20" l="1"/>
  <c r="A25" i="20"/>
  <c r="AI4" i="16" l="1"/>
  <c r="A23" i="11" l="1"/>
  <c r="A57" i="11" l="1"/>
  <c r="A58" i="11"/>
  <c r="A56" i="11"/>
  <c r="A55" i="11"/>
  <c r="A50" i="11"/>
  <c r="A49" i="11"/>
  <c r="A30" i="9"/>
  <c r="A29" i="9"/>
  <c r="A35" i="9"/>
  <c r="A34" i="9"/>
  <c r="A33" i="9"/>
  <c r="A32" i="9"/>
  <c r="A3" i="9"/>
  <c r="A2" i="21"/>
  <c r="A2" i="20"/>
  <c r="A2" i="19"/>
  <c r="A2" i="11"/>
  <c r="A2" i="9"/>
  <c r="A2" i="10"/>
  <c r="A29" i="10"/>
  <c r="A30" i="10"/>
  <c r="A31" i="10"/>
  <c r="A32" i="10"/>
  <c r="A33" i="10"/>
  <c r="A34" i="10"/>
  <c r="A35" i="10"/>
  <c r="A36" i="10"/>
  <c r="A28" i="10"/>
  <c r="A27" i="10"/>
  <c r="A26" i="10"/>
  <c r="A24" i="10"/>
  <c r="A25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3" i="21" l="1"/>
  <c r="AA4" i="16" l="1"/>
  <c r="W4" i="16" l="1"/>
  <c r="AJ4" i="16" s="1"/>
  <c r="T4" i="19" l="1"/>
  <c r="T5" i="19"/>
  <c r="T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3" i="19"/>
  <c r="N4" i="16" l="1"/>
  <c r="A39" i="21" l="1"/>
  <c r="A26" i="20"/>
  <c r="A26" i="9" l="1"/>
  <c r="A16" i="9"/>
  <c r="A48" i="11" l="1"/>
  <c r="A41" i="21"/>
  <c r="A42" i="21"/>
  <c r="A43" i="21"/>
  <c r="A44" i="21"/>
  <c r="A45" i="21"/>
  <c r="A46" i="21"/>
  <c r="A51" i="21"/>
  <c r="A52" i="21"/>
  <c r="A55" i="21"/>
  <c r="A56" i="21"/>
  <c r="A57" i="21"/>
  <c r="A38" i="21" l="1"/>
  <c r="A2" i="16" l="1"/>
  <c r="A7" i="16"/>
  <c r="A4" i="16"/>
  <c r="A37" i="21"/>
  <c r="A36" i="21"/>
  <c r="A35" i="21"/>
  <c r="A34" i="21"/>
  <c r="A33" i="21"/>
  <c r="A32" i="21"/>
  <c r="A30" i="21"/>
  <c r="A29" i="21"/>
  <c r="A28" i="21"/>
  <c r="A27" i="21"/>
  <c r="A25" i="21"/>
  <c r="A22" i="21"/>
  <c r="A21" i="21"/>
  <c r="A20" i="21"/>
  <c r="A23" i="21"/>
  <c r="A24" i="21"/>
  <c r="A19" i="21"/>
  <c r="A18" i="21"/>
  <c r="A15" i="21"/>
  <c r="A14" i="21"/>
  <c r="A13" i="21"/>
  <c r="A12" i="21"/>
  <c r="A11" i="21"/>
  <c r="A10" i="21"/>
  <c r="A9" i="21"/>
  <c r="A8" i="21"/>
  <c r="A7" i="21"/>
  <c r="A6" i="21"/>
  <c r="A5" i="21"/>
  <c r="A4" i="21"/>
  <c r="A36" i="20"/>
  <c r="A35" i="20"/>
  <c r="A34" i="20"/>
  <c r="A33" i="20"/>
  <c r="A32" i="20"/>
  <c r="A31" i="20"/>
  <c r="A29" i="20"/>
  <c r="A28" i="20"/>
  <c r="A27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3" i="21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36" i="11"/>
  <c r="A1" i="16"/>
  <c r="A1" i="21"/>
  <c r="A1" i="20"/>
  <c r="A1" i="19"/>
  <c r="A1" i="11"/>
  <c r="A1" i="10"/>
  <c r="A1" i="9"/>
  <c r="A47" i="11"/>
  <c r="A46" i="11"/>
  <c r="A45" i="11"/>
  <c r="A44" i="11"/>
  <c r="A41" i="11"/>
  <c r="A40" i="11"/>
  <c r="A39" i="11"/>
  <c r="A38" i="11"/>
  <c r="A35" i="11"/>
  <c r="A34" i="11"/>
  <c r="A33" i="11"/>
  <c r="A32" i="11"/>
  <c r="A31" i="11"/>
  <c r="A30" i="11"/>
  <c r="A29" i="11"/>
  <c r="A28" i="11"/>
  <c r="A27" i="11"/>
  <c r="A25" i="11"/>
  <c r="A21" i="11"/>
  <c r="A20" i="11"/>
  <c r="A22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8" i="9"/>
  <c r="A27" i="9"/>
  <c r="A25" i="9"/>
  <c r="A24" i="9"/>
  <c r="A39" i="9"/>
  <c r="A38" i="9"/>
  <c r="A37" i="9"/>
  <c r="A21" i="9"/>
  <c r="A20" i="9"/>
  <c r="A19" i="9"/>
  <c r="A18" i="9"/>
  <c r="A17" i="9"/>
  <c r="A15" i="9"/>
  <c r="A14" i="9"/>
  <c r="A13" i="9"/>
  <c r="A12" i="9"/>
  <c r="A11" i="9"/>
  <c r="A10" i="9"/>
  <c r="A9" i="9"/>
  <c r="A8" i="9"/>
  <c r="A7" i="9"/>
  <c r="A6" i="9"/>
  <c r="A5" i="9"/>
  <c r="A4" i="9"/>
  <c r="A7" i="26"/>
  <c r="A17" i="26"/>
  <c r="A15" i="26"/>
  <c r="A14" i="26"/>
  <c r="A13" i="26"/>
  <c r="A8" i="26"/>
  <c r="A9" i="26"/>
  <c r="A10" i="26"/>
  <c r="A11" i="26"/>
  <c r="J4" i="16"/>
  <c r="S4" i="16" s="1"/>
</calcChain>
</file>

<file path=xl/sharedStrings.xml><?xml version="1.0" encoding="utf-8"?>
<sst xmlns="http://schemas.openxmlformats.org/spreadsheetml/2006/main" count="725" uniqueCount="425">
  <si>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</si>
  <si>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</si>
  <si>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</si>
  <si>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</si>
  <si>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</si>
  <si>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</si>
  <si>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</si>
  <si>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</si>
  <si>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</si>
  <si>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</si>
  <si>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</si>
  <si>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</si>
  <si>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</si>
  <si>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</si>
  <si>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</si>
  <si>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</si>
  <si>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</si>
  <si>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</si>
  <si>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</si>
  <si>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</si>
  <si>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</si>
  <si>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</si>
  <si>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</si>
  <si>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</si>
  <si>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</si>
  <si>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</si>
  <si>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</si>
  <si>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</si>
  <si>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</si>
  <si>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</si>
  <si>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</si>
  <si>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</si>
  <si>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</si>
  <si>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</si>
  <si>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</si>
  <si>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</si>
  <si>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</si>
  <si>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</si>
  <si>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</si>
  <si>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</si>
  <si>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</si>
  <si>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</si>
  <si>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</si>
  <si>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</si>
  <si>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</si>
  <si>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</si>
  <si>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</si>
  <si>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</si>
  <si>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</si>
  <si>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</si>
  <si>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</si>
  <si>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</si>
  <si>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</si>
  <si>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</si>
  <si>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</si>
  <si>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</si>
  <si>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</si>
  <si>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</si>
  <si>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</si>
  <si>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</si>
  <si>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</si>
  <si>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</si>
  <si>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</si>
  <si>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</si>
  <si>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</si>
  <si>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</si>
  <si>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</si>
  <si>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</si>
  <si>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</si>
  <si>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</si>
  <si>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</si>
  <si>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</si>
  <si>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</si>
  <si>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</si>
  <si>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</si>
  <si>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</si>
  <si>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</si>
  <si>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</si>
  <si>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</si>
  <si>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</si>
  <si>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</si>
  <si>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</si>
  <si>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</si>
  <si>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</si>
  <si>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</si>
  <si>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</si>
  <si>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</si>
  <si>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</si>
  <si>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</si>
  <si>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</si>
  <si>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</si>
  <si>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</si>
  <si>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</si>
  <si>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</si>
  <si>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</si>
  <si>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</si>
  <si>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</si>
  <si>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</si>
  <si>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</si>
  <si>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</si>
  <si>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</si>
  <si>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</si>
  <si>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</si>
  <si>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</si>
  <si>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</si>
  <si>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</si>
  <si>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</si>
  <si>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</si>
  <si>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</si>
  <si>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04/17</t>
  </si>
  <si>
    <t>05/17</t>
  </si>
  <si>
    <t>06/17</t>
  </si>
  <si>
    <t>2Q17</t>
  </si>
  <si>
    <t>07/17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</si>
  <si>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</si>
  <si>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</si>
  <si>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</si>
  <si>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</si>
  <si>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</si>
  <si>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</si>
  <si>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</si>
  <si>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</si>
  <si>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</si>
  <si>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</si>
  <si>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</si>
  <si>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</si>
  <si>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</si>
  <si>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</si>
  <si>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</si>
  <si>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</si>
  <si>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</si>
  <si>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</si>
  <si>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</si>
  <si>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</si>
  <si>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</si>
  <si>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</si>
  <si>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</si>
  <si>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</si>
  <si>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</si>
  <si>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</si>
  <si>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</si>
  <si>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</si>
  <si>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</si>
  <si>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</si>
  <si>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</si>
  <si>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</si>
  <si>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</si>
  <si>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</si>
  <si>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</si>
  <si>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</si>
  <si>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</si>
  <si>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</si>
  <si>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</si>
  <si>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</si>
  <si>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</si>
  <si>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</si>
  <si>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</si>
  <si>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</si>
  <si>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</si>
  <si>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</si>
  <si>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</si>
  <si>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</si>
  <si>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</si>
  <si>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</si>
  <si>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</si>
  <si>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</si>
  <si>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</si>
  <si>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</si>
  <si>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</si>
  <si>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</si>
  <si>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</si>
  <si>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</si>
  <si>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</si>
  <si>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</si>
  <si>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</si>
  <si>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</si>
  <si>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</si>
  <si>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</si>
  <si>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</si>
  <si>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</si>
  <si>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</si>
  <si>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</si>
  <si>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</si>
  <si>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</si>
  <si>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</si>
  <si>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</si>
  <si>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Bond liabilities and other financial liabilities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</si>
  <si>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</si>
  <si>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</si>
  <si>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</si>
  <si>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</si>
  <si>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</si>
  <si>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</si>
  <si>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</si>
  <si>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</si>
  <si>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</si>
  <si>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</si>
  <si>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</si>
  <si>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</si>
  <si>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</si>
  <si>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</si>
  <si>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</si>
  <si>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</si>
  <si>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</si>
  <si>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</si>
  <si>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</si>
  <si>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</si>
  <si>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</si>
  <si>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</si>
  <si>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</si>
  <si>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</si>
  <si>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</si>
  <si>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</si>
  <si>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</si>
  <si>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</si>
  <si>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</si>
  <si>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</si>
  <si>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</si>
  <si>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</si>
  <si>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</si>
  <si>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</si>
  <si>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</si>
  <si>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</si>
  <si>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</si>
  <si>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</si>
  <si>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</si>
  <si>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</si>
  <si>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</si>
  <si>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</si>
  <si>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</si>
  <si>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</si>
  <si>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</si>
  <si>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</si>
  <si>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</si>
  <si>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</si>
  <si>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</si>
  <si>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</si>
  <si>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</si>
  <si>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</si>
  <si>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</si>
  <si>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</si>
  <si>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</si>
  <si>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</si>
  <si>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</si>
  <si>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</si>
  <si>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</si>
  <si>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</si>
  <si>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</si>
  <si>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</si>
  <si>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</si>
  <si>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</si>
  <si>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</si>
  <si>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</si>
  <si>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</si>
  <si>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</si>
  <si>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</si>
  <si>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</si>
  <si>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</si>
  <si>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</si>
  <si>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</si>
  <si>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</si>
  <si>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</si>
  <si>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</si>
  <si>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</si>
  <si>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</si>
  <si>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</si>
  <si>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</si>
  <si>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</si>
  <si>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</si>
  <si>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</si>
  <si>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</si>
  <si>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</si>
  <si>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</si>
  <si>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</si>
  <si>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</si>
  <si>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</si>
  <si>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</si>
  <si>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</si>
  <si>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</si>
  <si>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</si>
  <si>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</si>
  <si>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</si>
  <si>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</si>
  <si>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</si>
  <si>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</si>
  <si>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</si>
  <si>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</si>
  <si>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</si>
  <si>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</si>
  <si>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</si>
  <si>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</si>
  <si>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</si>
  <si>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</si>
  <si>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</si>
  <si>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</si>
  <si>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</si>
  <si>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</si>
  <si>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</si>
  <si>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</si>
  <si>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</si>
  <si>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</si>
  <si>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</si>
  <si>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</si>
  <si>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</si>
  <si>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</si>
  <si>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</si>
  <si>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</si>
  <si>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</si>
  <si>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</si>
  <si>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</si>
  <si>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</si>
  <si>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</si>
  <si>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</si>
  <si>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</si>
  <si>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</si>
  <si>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</si>
  <si>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</si>
  <si>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</si>
  <si>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</si>
  <si>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08/17</t>
  </si>
  <si>
    <t>09/17</t>
  </si>
  <si>
    <t>10/17</t>
  </si>
  <si>
    <t>3Q17</t>
  </si>
  <si>
    <t>1-2Q17</t>
  </si>
  <si>
    <t>1-3Q17</t>
  </si>
  <si>
    <t>4Q17</t>
  </si>
  <si>
    <t>11/17</t>
  </si>
  <si>
    <t>12/17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</si>
  <si>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</si>
  <si>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</si>
  <si>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</si>
  <si>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</si>
  <si>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</si>
  <si>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</si>
  <si>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01/18</t>
  </si>
  <si>
    <t>02/18</t>
  </si>
  <si>
    <t>03/18</t>
  </si>
  <si>
    <t>04/18</t>
  </si>
  <si>
    <t>05/18</t>
  </si>
  <si>
    <t>06/18</t>
  </si>
  <si>
    <t>2Q18</t>
  </si>
  <si>
    <t>07/18</t>
  </si>
  <si>
    <t>1-2Q18</t>
  </si>
  <si>
    <t>(Acquisition)/sale of other investments</t>
  </si>
  <si>
    <t>(Nabycie)/sprzedaż pozostałych inwestycji</t>
  </si>
  <si>
    <t>09/18</t>
  </si>
  <si>
    <t>08/18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</si>
  <si>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</si>
  <si>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</si>
  <si>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</si>
  <si>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</si>
  <si>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</si>
  <si>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</si>
  <si>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</si>
  <si>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</si>
  <si>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</si>
  <si>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</si>
  <si>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</si>
  <si>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10/18</t>
  </si>
  <si>
    <t>11/18</t>
  </si>
  <si>
    <t>12/18</t>
  </si>
  <si>
    <t>1Q19</t>
  </si>
  <si>
    <t>2Q19</t>
  </si>
  <si>
    <t>3Q19</t>
  </si>
  <si>
    <t>4Q19</t>
  </si>
  <si>
    <t>1-2Q19</t>
  </si>
  <si>
    <t>1-3Q19</t>
  </si>
  <si>
    <t>Spłata zobowiązań finansowych z tytułu leasingu finansowego</t>
  </si>
  <si>
    <t>Płatności zobowiązań z tytułu leasingu finansowego</t>
  </si>
  <si>
    <t>Odsetki z tytułu leasingu finansowego</t>
  </si>
  <si>
    <t>01/19</t>
  </si>
  <si>
    <t>02/19</t>
  </si>
  <si>
    <t>03/19</t>
  </si>
  <si>
    <t>Spłata udzielonych pożyczek wraz odsetkami</t>
  </si>
  <si>
    <t>Spłata obligacji wraz z odsetkami</t>
  </si>
  <si>
    <t>Spłata zadłużenia z tytułu zaciągniętych kredytów wraz z odsetkami</t>
  </si>
  <si>
    <t>04/19</t>
  </si>
  <si>
    <t>05/19</t>
  </si>
  <si>
    <t>06/19</t>
  </si>
  <si>
    <t>07/19</t>
  </si>
  <si>
    <t>08/19</t>
  </si>
  <si>
    <t>09/19</t>
  </si>
  <si>
    <t>Strata z likwidacji środków trwałych</t>
  </si>
  <si>
    <t>10/19</t>
  </si>
  <si>
    <t>11/19</t>
  </si>
  <si>
    <t>12/19</t>
  </si>
  <si>
    <t>1Q20</t>
  </si>
  <si>
    <t>Zadłużenie na kartach kredytowych</t>
  </si>
  <si>
    <t>01/20</t>
  </si>
  <si>
    <t>02/20</t>
  </si>
  <si>
    <t>03/20</t>
  </si>
  <si>
    <t>2Q20</t>
  </si>
  <si>
    <t>1-2Q20</t>
  </si>
  <si>
    <t>Rozpoznane przychody z tytułu rozliczenia dotacji</t>
  </si>
  <si>
    <t>Wpływy z tytułu otrzymanych dotacji</t>
  </si>
  <si>
    <t>04/20</t>
  </si>
  <si>
    <t>05/20</t>
  </si>
  <si>
    <t>06/20</t>
  </si>
  <si>
    <t>07/20</t>
  </si>
  <si>
    <t>08/20</t>
  </si>
  <si>
    <t>09/20</t>
  </si>
  <si>
    <t>3Q20</t>
  </si>
  <si>
    <t>1-3Q20</t>
  </si>
  <si>
    <t>4Q20</t>
  </si>
  <si>
    <t>Aktualizacja wartości niematerialnych</t>
  </si>
  <si>
    <t>Aktualizacja wartości wartości niematerialnych</t>
  </si>
  <si>
    <t>10/20</t>
  </si>
  <si>
    <t>11/20</t>
  </si>
  <si>
    <t>12/20</t>
  </si>
  <si>
    <t>1Q21</t>
  </si>
  <si>
    <t>01/21</t>
  </si>
  <si>
    <t>02/21</t>
  </si>
  <si>
    <t>03/21</t>
  </si>
  <si>
    <t>3Q21</t>
  </si>
  <si>
    <t>2Q21</t>
  </si>
  <si>
    <t>04/21</t>
  </si>
  <si>
    <t>1-2Q21</t>
  </si>
  <si>
    <t>05/21</t>
  </si>
  <si>
    <t>06/21</t>
  </si>
  <si>
    <t>Odpis aktualizujący wartość udziałów</t>
  </si>
  <si>
    <t>1-3Q21</t>
  </si>
  <si>
    <t>07/21</t>
  </si>
  <si>
    <t>08/21</t>
  </si>
  <si>
    <t>09/21</t>
  </si>
  <si>
    <t>w tym liczba badań MCT, Event 
Monitoring, Extended 
Holter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</si>
</sst>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;\(#,##0\);\-"/>
    <numFmt numFmtId="166" formatCode="#,##0.0;\(#,##0.0\);\-"/>
    <numFmt numFmtId="167" formatCode="_(* #,##0_);_(* \(#,##0\);_(* &quot;-&quot;?_);_(@_)"/>
    <numFmt numFmtId="168" formatCode="#,##0.00;\(#,##0.00\);\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rgb="FFE3061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u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E30613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  <diagonal/>
    </border>
    <border>
      <left/>
      <right/>
      <top style="thin">
        <color rgb="FFE30613"/>
      </top>
      <bottom/>
      <diagonal/>
    </border>
    <border>
      <left/>
      <right/>
      <top/>
      <bottom style="thin">
        <color rgb="FFE30613"/>
      </bottom>
      <diagonal/>
    </border>
    <border>
      <left/>
      <right/>
      <top/>
      <bottom style="thin">
        <color rgb="FFFF0000"/>
      </bottom>
      <diagonal/>
    </border>
    <border>
      <left style="medium">
        <color rgb="FFE30613"/>
      </left>
      <right/>
      <top style="medium">
        <color rgb="FFE30613"/>
      </top>
      <bottom style="medium">
        <color rgb="FFE30613"/>
      </bottom>
      <diagonal/>
    </border>
    <border>
      <left/>
      <right style="medium">
        <color rgb="FFE30613"/>
      </right>
      <top style="medium">
        <color rgb="FFE30613"/>
      </top>
      <bottom style="medium">
        <color rgb="FFE30613"/>
      </bottom>
      <diagonal/>
    </border>
    <border>
      <left/>
      <right/>
      <top/>
      <bottom style="medium">
        <color rgb="FFE30613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4" fillId="0" borderId="0" applyNumberFormat="0" applyBorder="0" applyAlignment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165" fontId="5" fillId="0" borderId="0" xfId="0" applyNumberFormat="1" applyFont="1"/>
    <xf numFmtId="0" fontId="5" fillId="0" borderId="0" xfId="0" applyFont="1"/>
    <xf numFmtId="165" fontId="6" fillId="0" borderId="0" xfId="0" applyNumberFormat="1" applyFont="1"/>
    <xf numFmtId="165" fontId="5" fillId="0" borderId="1" xfId="0" applyNumberFormat="1" applyFont="1" applyBorder="1"/>
    <xf numFmtId="165" fontId="6" fillId="0" borderId="1" xfId="0" applyNumberFormat="1" applyFont="1" applyBorder="1"/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5" fillId="0" borderId="0" xfId="0" applyNumberFormat="1" applyFont="1"/>
    <xf numFmtId="165" fontId="5" fillId="0" borderId="2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165" fontId="9" fillId="0" borderId="0" xfId="0" applyNumberFormat="1" applyFont="1"/>
    <xf numFmtId="165" fontId="9" fillId="0" borderId="1" xfId="0" applyNumberFormat="1" applyFont="1" applyBorder="1"/>
    <xf numFmtId="0" fontId="9" fillId="0" borderId="0" xfId="0" applyFont="1"/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0" fillId="0" borderId="1" xfId="0" applyNumberFormat="1" applyFont="1" applyBorder="1" applyAlignment="1">
      <alignment wrapText="1"/>
    </xf>
    <xf numFmtId="166" fontId="11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3" fontId="6" fillId="0" borderId="0" xfId="3" applyNumberFormat="1" applyFont="1"/>
    <xf numFmtId="3" fontId="6" fillId="0" borderId="0" xfId="3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49" fontId="5" fillId="2" borderId="0" xfId="0" quotePrefix="1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quotePrefix="1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4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quotePrefix="1" applyNumberFormat="1" applyFont="1" applyAlignment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1" applyFont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4" fillId="0" borderId="0" xfId="0" applyFont="1" applyAlignment="1">
      <alignment vertical="center" wrapText="1"/>
    </xf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1" applyFont="1" applyFill="1"/>
    <xf numFmtId="0" fontId="17" fillId="2" borderId="0" xfId="1" applyFont="1" applyFill="1"/>
    <xf numFmtId="0" fontId="18" fillId="2" borderId="0" xfId="0" applyFont="1" applyFill="1"/>
    <xf numFmtId="0" fontId="17" fillId="2" borderId="4" xfId="1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vertical="center"/>
    </xf>
    <xf numFmtId="9" fontId="6" fillId="0" borderId="0" xfId="5" applyFont="1"/>
    <xf numFmtId="17" fontId="27" fillId="0" borderId="0" xfId="0" applyNumberFormat="1" applyFont="1"/>
    <xf numFmtId="17" fontId="13" fillId="0" borderId="0" xfId="0" applyNumberFormat="1" applyFont="1"/>
    <xf numFmtId="0" fontId="12" fillId="0" borderId="0" xfId="0" applyFont="1" applyAlignment="1">
      <alignment horizontal="center"/>
    </xf>
    <xf numFmtId="17" fontId="13" fillId="0" borderId="0" xfId="0" applyNumberFormat="1" applyFont="1" applyAlignment="1">
      <alignment horizontal="right"/>
    </xf>
    <xf numFmtId="17" fontId="25" fillId="0" borderId="0" xfId="0" applyNumberFormat="1" applyFont="1" applyAlignment="1">
      <alignment horizontal="right"/>
    </xf>
    <xf numFmtId="3" fontId="27" fillId="0" borderId="0" xfId="0" applyNumberFormat="1" applyFont="1"/>
    <xf numFmtId="3" fontId="13" fillId="0" borderId="0" xfId="0" applyNumberFormat="1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9" fontId="29" fillId="0" borderId="0" xfId="5" applyFont="1"/>
    <xf numFmtId="9" fontId="13" fillId="0" borderId="0" xfId="5" applyFont="1" applyAlignment="1">
      <alignment horizontal="right"/>
    </xf>
    <xf numFmtId="9" fontId="13" fillId="0" borderId="0" xfId="5" applyFont="1"/>
    <xf numFmtId="9" fontId="27" fillId="0" borderId="0" xfId="5" applyFont="1"/>
    <xf numFmtId="3" fontId="5" fillId="0" borderId="0" xfId="0" applyNumberFormat="1" applyFont="1"/>
    <xf numFmtId="0" fontId="5" fillId="6" borderId="0" xfId="0" applyFont="1" applyFill="1"/>
    <xf numFmtId="17" fontId="30" fillId="0" borderId="0" xfId="0" applyNumberFormat="1" applyFont="1" applyAlignment="1">
      <alignment horizontal="center"/>
    </xf>
    <xf numFmtId="167" fontId="21" fillId="5" borderId="0" xfId="0" applyNumberFormat="1" applyFont="1" applyFill="1" applyAlignment="1" applyProtection="1">
      <alignment horizontal="right" vertical="center" wrapText="1"/>
      <protection locked="0"/>
    </xf>
    <xf numFmtId="167" fontId="21" fillId="5" borderId="0" xfId="0" applyNumberFormat="1" applyFont="1" applyFill="1" applyAlignment="1" applyProtection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/>
    <xf numFmtId="168" fontId="6" fillId="0" borderId="0" xfId="0" applyNumberFormat="1" applyFont="1"/>
    <xf numFmtId="0" fontId="11" fillId="0" borderId="0" xfId="0" applyFont="1" applyFill="1" applyAlignment="1">
      <alignment horizontal="left" vertical="center"/>
    </xf>
    <xf numFmtId="167" fontId="2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 applyProtection="1">
      <alignment horizontal="right" vertical="center" wrapText="1"/>
      <protection locked="0"/>
    </xf>
    <xf numFmtId="165" fontId="21" fillId="5" borderId="0" xfId="0" applyNumberFormat="1" applyFont="1" applyFill="1" applyAlignment="1">
      <alignment horizontal="right" vertical="center" wrapText="1"/>
    </xf>
    <xf numFmtId="167" fontId="12" fillId="7" borderId="1" xfId="0" applyNumberFormat="1" applyFont="1" applyFill="1" applyBorder="1" applyAlignment="1">
      <alignment horizontal="right" vertical="center" wrapText="1"/>
    </xf>
    <xf numFmtId="167" fontId="13" fillId="7" borderId="0" xfId="0" applyNumberFormat="1" applyFont="1" applyFill="1" applyAlignment="1">
      <alignment horizontal="right" vertical="center" wrapText="1"/>
    </xf>
    <xf numFmtId="167" fontId="9" fillId="7" borderId="1" xfId="0" applyNumberFormat="1" applyFont="1" applyFill="1" applyBorder="1" applyAlignment="1">
      <alignment horizontal="right"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vertical="center" wrapText="1"/>
    </xf>
    <xf numFmtId="165" fontId="12" fillId="7" borderId="2" xfId="0" applyNumberFormat="1" applyFont="1" applyFill="1" applyBorder="1" applyAlignment="1">
      <alignment horizontal="right" vertical="center" wrapText="1"/>
    </xf>
    <xf numFmtId="165" fontId="13" fillId="7" borderId="0" xfId="0" applyNumberFormat="1" applyFont="1" applyFill="1" applyAlignment="1">
      <alignment horizontal="right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7" borderId="0" xfId="0" applyNumberFormat="1" applyFont="1" applyFill="1" applyAlignment="1">
      <alignment horizontal="right" wrapText="1"/>
    </xf>
    <xf numFmtId="0" fontId="27" fillId="7" borderId="0" xfId="0" applyFont="1" applyFill="1" applyAlignment="1"/>
    <xf numFmtId="167" fontId="30" fillId="0" borderId="0" xfId="0" applyNumberFormat="1" applyFont="1" applyAlignment="1">
      <alignment horizontal="right" vertical="center" wrapText="1"/>
    </xf>
    <xf numFmtId="167" fontId="27" fillId="0" borderId="0" xfId="0" applyNumberFormat="1" applyFont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27" fillId="0" borderId="0" xfId="0" quotePrefix="1" applyFont="1" applyAlignment="1">
      <alignment horizontal="right" vertical="center"/>
    </xf>
    <xf numFmtId="167" fontId="27" fillId="0" borderId="0" xfId="0" quotePrefix="1" applyNumberFormat="1" applyFont="1" applyAlignment="1">
      <alignment horizontal="right" vertical="center" wrapText="1"/>
    </xf>
    <xf numFmtId="167" fontId="27" fillId="0" borderId="0" xfId="0" applyNumberFormat="1" applyFont="1" applyAlignment="1" applyProtection="1">
      <alignment horizontal="right" vertical="center" wrapText="1"/>
      <protection locked="0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167" fontId="30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13" fillId="0" borderId="0" xfId="0" applyNumberFormat="1" applyFont="1" applyAlignment="1" applyProtection="1">
      <alignment horizontal="right" wrapText="1"/>
      <protection locked="0"/>
    </xf>
    <xf numFmtId="167" fontId="21" fillId="0" borderId="0" xfId="0" applyNumberFormat="1" applyFont="1" applyAlignment="1" applyProtection="1">
      <alignment horizontal="right" vertical="center" wrapText="1"/>
      <protection locked="0"/>
    </xf>
    <xf numFmtId="167" fontId="30" fillId="0" borderId="1" xfId="0" applyNumberFormat="1" applyFont="1" applyBorder="1" applyAlignment="1">
      <alignment horizontal="right" wrapText="1"/>
    </xf>
    <xf numFmtId="167" fontId="31" fillId="0" borderId="0" xfId="0" applyNumberFormat="1" applyFont="1" applyAlignment="1" applyProtection="1">
      <alignment horizontal="right" vertical="center" wrapText="1"/>
      <protection locked="0"/>
    </xf>
    <xf numFmtId="167" fontId="32" fillId="0" borderId="0" xfId="0" applyNumberFormat="1" applyFont="1" applyAlignment="1" applyProtection="1">
      <alignment horizontal="right" vertical="center" wrapText="1"/>
      <protection locked="0"/>
    </xf>
    <xf numFmtId="167" fontId="33" fillId="0" borderId="1" xfId="0" applyNumberFormat="1" applyFont="1" applyBorder="1" applyAlignment="1">
      <alignment horizontal="right" vertical="center" wrapText="1"/>
    </xf>
    <xf numFmtId="167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7" fontId="20" fillId="0" borderId="0" xfId="0" applyNumberFormat="1" applyFont="1" applyFill="1" applyAlignment="1">
      <alignment horizontal="right" vertical="center" wrapText="1"/>
    </xf>
    <xf numFmtId="166" fontId="13" fillId="7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6" fontId="13" fillId="0" borderId="0" xfId="0" applyNumberFormat="1" applyFont="1" applyAlignment="1" applyProtection="1">
      <alignment horizontal="right" vertical="center" wrapText="1"/>
      <protection locked="0"/>
    </xf>
    <xf numFmtId="167" fontId="19" fillId="0" borderId="1" xfId="0" applyNumberFormat="1" applyFont="1" applyBorder="1" applyAlignment="1">
      <alignment horizontal="right" vertical="center" wrapText="1"/>
    </xf>
    <xf numFmtId="167" fontId="23" fillId="0" borderId="1" xfId="0" applyNumberFormat="1" applyFont="1" applyBorder="1" applyAlignment="1">
      <alignment horizontal="right" vertical="center" wrapText="1"/>
    </xf>
    <xf numFmtId="168" fontId="13" fillId="7" borderId="0" xfId="0" applyNumberFormat="1" applyFont="1" applyFill="1" applyAlignment="1">
      <alignment horizontal="right" vertical="center" wrapText="1"/>
    </xf>
    <xf numFmtId="167" fontId="20" fillId="5" borderId="0" xfId="0" applyNumberFormat="1" applyFont="1" applyFill="1" applyAlignment="1">
      <alignment horizontal="right" vertical="center" wrapText="1"/>
    </xf>
    <xf numFmtId="167" fontId="6" fillId="0" borderId="0" xfId="0" applyNumberFormat="1" applyFont="1"/>
    <xf numFmtId="0" fontId="21" fillId="0" borderId="0" xfId="0" applyFont="1" applyAlignment="1">
      <alignment horizontal="left" vertical="top"/>
    </xf>
    <xf numFmtId="167" fontId="21" fillId="0" borderId="0" xfId="0" applyNumberFormat="1" applyFont="1" applyAlignment="1" applyProtection="1">
      <alignment horizontal="right" wrapText="1"/>
      <protection locked="0"/>
    </xf>
    <xf numFmtId="3" fontId="6" fillId="0" borderId="0" xfId="0" applyNumberFormat="1" applyFont="1" applyFill="1"/>
    <xf numFmtId="167" fontId="27" fillId="0" borderId="0" xfId="0" applyNumberFormat="1" applyFont="1" applyFill="1" applyAlignment="1">
      <alignment horizontal="right" vertical="center" wrapText="1"/>
    </xf>
    <xf numFmtId="167" fontId="27" fillId="0" borderId="0" xfId="0" quotePrefix="1" applyNumberFormat="1" applyFont="1" applyFill="1" applyAlignment="1">
      <alignment horizontal="right" vertical="center" wrapText="1"/>
    </xf>
    <xf numFmtId="9" fontId="6" fillId="0" borderId="0" xfId="0" applyNumberFormat="1" applyFont="1"/>
    <xf numFmtId="0" fontId="6" fillId="2" borderId="0" xfId="0" applyFont="1" applyFill="1" applyAlignment="1">
      <alignment horizontal="right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Comma" xfId="3" builtinId="3"/>
    <cellStyle name="Hyperlink" xfId="1" builtinId="8"/>
    <cellStyle name="Normal" xfId="0" builtinId="0"/>
    <cellStyle name="Normalny 16" xfId="2" xr:uid="{00000000-0005-0000-0000-000003000000}"/>
    <cellStyle name="Normalny 2" xfId="4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160020</xdr:rowOff>
    </xdr:from>
    <xdr:to>
      <xdr:col>0</xdr:col>
      <xdr:colOff>2498948</xdr:colOff>
      <xdr:row>2</xdr:row>
      <xdr:rowOff>122260</xdr:rowOff>
    </xdr:to>
    <xdr:pic>
      <xdr:nvPicPr>
        <xdr:cNvPr id="2" name="Picture 7" descr="medicalgorithmics_Logo_C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60020"/>
          <a:ext cx="2331308" cy="42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porty%20Finansowe/Bilans%202020/III%20kwarta&#322;/Konsolidacja%203Q2020_02.11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porty%20Finansowe/Bilans%202021/II%20kwarta&#322;%202021/tabelki/SF%20GK%20MDG%202Q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dicalgor-my.sharepoint.com/personal/m_wnuk_medicalgorithmics_com/Documents/Pulpit/CF%20konso%20IIIQ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porty%20Finansowe/Bilans%202021/I%20kwarta&#322;%202021/CF%20konso%20IQ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se/Medicalgorithmics/Bilans,%20RZiS%20miesi&#281;cznie/2020/09.wrzesie&#324;/MDG_Bilans_RZiS_202009%2020.10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Raporty%20Finansowe\Bilans%202021\II%20kwarta&#322;%202021\CF%20MDG%20SA%202Q%202021%20v%2026.0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a"/>
      <sheetName val="układ funkc"/>
      <sheetName val="Sheet1"/>
      <sheetName val="Całk. doch."/>
      <sheetName val="konsolidacja 3Q20"/>
      <sheetName val="obrotówka na 31.12.2018"/>
      <sheetName val="Income Statement"/>
      <sheetName val="Rożnice kursowe"/>
      <sheetName val="udziały mniejszości"/>
      <sheetName val="HoldCo_BS"/>
      <sheetName val="Holdco_P&amp;L (2)"/>
      <sheetName val="Assets MDGI"/>
      <sheetName val="Equity and liab. MDGI"/>
      <sheetName val="P&amp;L nature MDGI"/>
      <sheetName val="KSM BS"/>
      <sheetName val="KSM E&amp;L"/>
      <sheetName val="KSM P&amp;L"/>
      <sheetName val="Srodki trwałe KSM"/>
      <sheetName val="MDG Assets"/>
      <sheetName val="MDG E&amp;L"/>
      <sheetName val="MDG P&amp;L"/>
      <sheetName val="ML Assets"/>
      <sheetName val="ML E&amp;L"/>
      <sheetName val="ML P&amp;L"/>
      <sheetName val="Equity and liab."/>
      <sheetName val="Zyski zatrzymane"/>
      <sheetName val="Holdco_P&amp;L"/>
      <sheetName val="Spr.z całk. dochodów"/>
      <sheetName val="Analiza odroczony - cons"/>
      <sheetName val="PocketECG nabycie ML"/>
      <sheetName val="PocketECG AMI"/>
      <sheetName val="PocektECG ML po dniu nabycia"/>
      <sheetName val="PocektECG OUS"/>
      <sheetName val="amortyzacja bazy kleintów ML"/>
      <sheetName val="Kursy średnie"/>
      <sheetName val="Kursy średnie (2)"/>
      <sheetName val="Kursy średnie (3)"/>
      <sheetName val="Kursy średnie (4)"/>
      <sheetName val="Kursy średnie (5)"/>
      <sheetName val="Assets"/>
      <sheetName val="P&amp;L nature"/>
    </sheetNames>
    <sheetDataSet>
      <sheetData sheetId="0"/>
      <sheetData sheetId="1"/>
      <sheetData sheetId="2"/>
      <sheetData sheetId="3"/>
      <sheetData sheetId="4">
        <row r="14">
          <cell r="H14">
            <v>210556150.42485851</v>
          </cell>
        </row>
        <row r="34">
          <cell r="H34">
            <v>432782.9</v>
          </cell>
        </row>
        <row r="35">
          <cell r="H35">
            <v>137128410.77597398</v>
          </cell>
        </row>
        <row r="36">
          <cell r="H36">
            <v>0</v>
          </cell>
        </row>
      </sheetData>
      <sheetData sheetId="5"/>
      <sheetData sheetId="6"/>
      <sheetData sheetId="7"/>
      <sheetData sheetId="8"/>
      <sheetData sheetId="9">
        <row r="26">
          <cell r="E26">
            <v>2729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F19">
            <v>8893182.459999999</v>
          </cell>
        </row>
      </sheetData>
      <sheetData sheetId="23">
        <row r="8">
          <cell r="E8">
            <v>740563.50268777495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Wybrane d."/>
      <sheetName val="Aktywa"/>
      <sheetName val="Pasywa"/>
      <sheetName val="Całk. doch."/>
      <sheetName val="Kapitał"/>
      <sheetName val="CF FINAL"/>
      <sheetName val="CF"/>
      <sheetName val="CF HY 2021"/>
      <sheetName val="CashFlow"/>
      <sheetName val="Środki trwałe 2"/>
      <sheetName val="Nota 4.5 mssf 16"/>
      <sheetName val="Nota 6"/>
      <sheetName val="Nota 7"/>
      <sheetName val="Nota 9"/>
      <sheetName val="Nota 9.1"/>
      <sheetName val="Nota 10.1"/>
      <sheetName val="Nota 10"/>
      <sheetName val="Nota 11 (1)"/>
      <sheetName val="Nota 11 2"/>
      <sheetName val="Nota 11"/>
      <sheetName val="Nota 12"/>
      <sheetName val="Nota 13"/>
      <sheetName val="Nota 13.1"/>
      <sheetName val="Nota 13.2"/>
      <sheetName val="Nota 14.2"/>
      <sheetName val="Nota 14.1"/>
      <sheetName val="Nota 16.1"/>
      <sheetName val="Wiekowanie należności 2"/>
      <sheetName val="Nota 14"/>
      <sheetName val="Nota 15"/>
      <sheetName val="Nota 16"/>
      <sheetName val="Nota 18"/>
      <sheetName val="Wiekowanie należności"/>
      <sheetName val="Nota 17"/>
      <sheetName val="Nota 19"/>
      <sheetName val="Nota 19.1"/>
      <sheetName val="Nota 22.2"/>
      <sheetName val="Nota 22.3"/>
      <sheetName val="Nota 22.4"/>
      <sheetName val="Nota 22.5"/>
      <sheetName val="Nota 22.5.1"/>
      <sheetName val="Nota 22.6"/>
      <sheetName val="Nota 22.7"/>
      <sheetName val="Nota 22.8, 24"/>
      <sheetName val="Nota 25 (1)"/>
      <sheetName val="Noty 27"/>
      <sheetName val="Nota 21"/>
      <sheetName val="Sheet1"/>
      <sheetName val="Nota 26"/>
    </sheetNames>
    <sheetDataSet>
      <sheetData sheetId="0">
        <row r="3">
          <cell r="B3" t="str">
            <v>30.06.2021</v>
          </cell>
        </row>
      </sheetData>
      <sheetData sheetId="1" refreshError="1"/>
      <sheetData sheetId="2">
        <row r="4">
          <cell r="C4">
            <v>196430.96914467035</v>
          </cell>
        </row>
      </sheetData>
      <sheetData sheetId="3">
        <row r="3">
          <cell r="C3">
            <v>432.78290000000004</v>
          </cell>
        </row>
      </sheetData>
      <sheetData sheetId="4">
        <row r="3">
          <cell r="C3">
            <v>27666.231703922345</v>
          </cell>
        </row>
        <row r="47">
          <cell r="C47">
            <v>-3371.2327786625638</v>
          </cell>
        </row>
        <row r="48">
          <cell r="C48">
            <v>-3027.8445199999996</v>
          </cell>
        </row>
        <row r="49">
          <cell r="C49">
            <v>575.23345879999999</v>
          </cell>
        </row>
        <row r="51">
          <cell r="C51">
            <v>-5823.8438398625631</v>
          </cell>
        </row>
      </sheetData>
      <sheetData sheetId="5">
        <row r="6">
          <cell r="E6">
            <v>-2863.1359451693393</v>
          </cell>
        </row>
      </sheetData>
      <sheetData sheetId="6" refreshError="1"/>
      <sheetData sheetId="7" refreshError="1"/>
      <sheetData sheetId="8">
        <row r="15">
          <cell r="C15">
            <v>-12082.796498</v>
          </cell>
        </row>
      </sheetData>
      <sheetData sheetId="9" refreshError="1"/>
      <sheetData sheetId="10" refreshError="1"/>
      <sheetData sheetId="11" refreshError="1"/>
      <sheetData sheetId="12">
        <row r="5">
          <cell r="B5" t="str">
            <v>01.04.2021-30.06.2021</v>
          </cell>
        </row>
      </sheetData>
      <sheetData sheetId="13">
        <row r="4">
          <cell r="B4">
            <v>-20899.676107176001</v>
          </cell>
        </row>
      </sheetData>
      <sheetData sheetId="14">
        <row r="6">
          <cell r="B6">
            <v>-179.01203985794658</v>
          </cell>
        </row>
      </sheetData>
      <sheetData sheetId="15" refreshError="1"/>
      <sheetData sheetId="16" refreshError="1"/>
      <sheetData sheetId="17">
        <row r="8">
          <cell r="B8">
            <v>12085.379149362507</v>
          </cell>
        </row>
      </sheetData>
      <sheetData sheetId="18" refreshError="1"/>
      <sheetData sheetId="19" refreshError="1"/>
      <sheetData sheetId="20">
        <row r="4">
          <cell r="B4">
            <v>0</v>
          </cell>
        </row>
      </sheetData>
      <sheetData sheetId="21">
        <row r="4">
          <cell r="B4">
            <v>-8618.4137702706521</v>
          </cell>
        </row>
      </sheetData>
      <sheetData sheetId="22">
        <row r="20">
          <cell r="B20">
            <v>84364.821125936738</v>
          </cell>
        </row>
      </sheetData>
      <sheetData sheetId="23">
        <row r="4">
          <cell r="G4">
            <v>-1665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0">
          <cell r="C40">
            <v>2442.4130327839998</v>
          </cell>
        </row>
      </sheetData>
      <sheetData sheetId="30">
        <row r="5">
          <cell r="B5">
            <v>162.11349999999999</v>
          </cell>
        </row>
      </sheetData>
      <sheetData sheetId="31">
        <row r="5">
          <cell r="B5">
            <v>21010.385692804564</v>
          </cell>
        </row>
      </sheetData>
      <sheetData sheetId="32" refreshError="1"/>
      <sheetData sheetId="33">
        <row r="8">
          <cell r="B8">
            <v>1292.6622199999999</v>
          </cell>
        </row>
      </sheetData>
      <sheetData sheetId="34">
        <row r="4">
          <cell r="B4">
            <v>9.8016500000000004</v>
          </cell>
        </row>
      </sheetData>
      <sheetData sheetId="35">
        <row r="4">
          <cell r="B4">
            <v>4307.3474068587311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5">
          <cell r="B5">
            <v>9060.8025567637087</v>
          </cell>
        </row>
      </sheetData>
      <sheetData sheetId="48" refreshError="1"/>
      <sheetData sheetId="49">
        <row r="4">
          <cell r="B4">
            <v>529.66630999999995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ash flow_GRUPA"/>
      <sheetName val="Sheet3"/>
      <sheetName val="Sheet1"/>
      <sheetName val="CashFlow"/>
      <sheetName val="Nota 13"/>
      <sheetName val="Nota 14"/>
    </sheetNames>
    <sheetDataSet>
      <sheetData sheetId="0" refreshError="1">
        <row r="6">
          <cell r="C6">
            <v>-18969.218694770414</v>
          </cell>
        </row>
        <row r="16">
          <cell r="C16">
            <v>23.43208280399999</v>
          </cell>
        </row>
        <row r="30">
          <cell r="C30">
            <v>-3172.6774</v>
          </cell>
        </row>
        <row r="32">
          <cell r="C32">
            <v>592.59854945830944</v>
          </cell>
        </row>
        <row r="42">
          <cell r="C42">
            <v>-4339.4849361440602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_GRUPA"/>
      <sheetName val="CF"/>
      <sheetName val="Sheet3"/>
      <sheetName val="Sheet1"/>
      <sheetName val="CashFlow"/>
      <sheetName val="Nota 13"/>
      <sheetName val="Nota 14"/>
    </sheetNames>
    <sheetDataSet>
      <sheetData sheetId="0"/>
      <sheetData sheetId="1">
        <row r="40">
          <cell r="C40">
            <v>8553.3120699999981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MSR_Input data"/>
      <sheetName val="DOCHODY_MSR_Input data"/>
      <sheetName val="Aktywa - Jednostkowe"/>
      <sheetName val="Pasywa - Jednostkowe"/>
      <sheetName val="Spr.z całk. dochodów"/>
      <sheetName val="obrotówka na 30.09.2020"/>
    </sheetNames>
    <sheetDataSet>
      <sheetData sheetId="0">
        <row r="99">
          <cell r="G99"/>
        </row>
      </sheetData>
      <sheetData sheetId="1"/>
      <sheetData sheetId="2"/>
      <sheetData sheetId="3">
        <row r="10">
          <cell r="D10">
            <v>5277.5555199999999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MSR_Input data"/>
      <sheetName val="DOCHODY_MSR_Input data"/>
      <sheetName val="Cash flow_jednostkowe"/>
      <sheetName val="3. CF v2"/>
      <sheetName val="Przepływy"/>
      <sheetName val="obrotówka na 30.06.2021 v.26.08"/>
      <sheetName val="TB2Q2021"/>
      <sheetName val="Aktywa - Jednostkowe (2)"/>
      <sheetName val="Pasywa - Jednostkowe (2)"/>
      <sheetName val="Spr.z całk. dochodów (2)"/>
      <sheetName val="obrotówka v1"/>
      <sheetName val="TB1Q2021"/>
      <sheetName val="BILANS_MSR_Input data (3)"/>
      <sheetName val="DOCHODY_MSR_Input data (3)"/>
      <sheetName val="Aktywa - Jednostkowe"/>
      <sheetName val="Pasywa - Jednostkowe"/>
      <sheetName val="Spr.z całk. dochodów"/>
      <sheetName val="obrotówka na 30.06.2021"/>
      <sheetName val="komentarze AL"/>
      <sheetName val="BILANS_MSR_Input data (2)"/>
      <sheetName val="DOCHODY_MSR_Input data (2)"/>
      <sheetName val="Arkusz8"/>
      <sheetName val="TB2020"/>
      <sheetName val="Nota 12"/>
      <sheetName val="Nota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8011.4668899999988</v>
          </cell>
        </row>
        <row r="39">
          <cell r="C39">
            <v>9710.2577699999983</v>
          </cell>
        </row>
      </sheetData>
      <sheetData sheetId="5"/>
      <sheetData sheetId="6">
        <row r="447">
          <cell r="D447">
            <v>2828136.6100000003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1"/>
  </sheetPr>
  <dimension ref="A2:B20"/>
  <sheetViews>
    <sheetView showGridLines="0" workbookViewId="0">
      <selection activeCell="H30" sqref="H30"/>
    </sheetView>
  </sheetViews>
  <sheetFormatPr defaultColWidth="11.44140625" defaultRowHeight="15.6" x14ac:dyDescent="0.3"/>
  <cols>
    <col min="1" max="1" width="59.44140625" style="80" customWidth="1"/>
    <col min="2" max="2" width="9.44140625" style="80" bestFit="1" customWidth="1"/>
    <col min="3" max="16384" width="11.44140625" style="80"/>
  </cols>
  <sheetData>
    <row r="2" spans="1:2" ht="23.1" customHeight="1" x14ac:dyDescent="0.3"/>
    <row r="3" spans="1:2" ht="23.1" customHeight="1" x14ac:dyDescent="0.3"/>
    <row r="4" spans="1:2" ht="23.1" customHeight="1" thickBot="1" x14ac:dyDescent="0.35">
      <c r="A4" s="166" t="s">
        <v>298</v>
      </c>
      <c r="B4" s="166"/>
    </row>
    <row r="5" spans="1:2" ht="23.1" customHeight="1" thickBot="1" x14ac:dyDescent="0.35">
      <c r="A5" s="164" t="s">
        <v>297</v>
      </c>
      <c r="B5" s="165"/>
    </row>
    <row r="7" spans="1:2" ht="22.35" customHeight="1" x14ac:dyDescent="0.3">
      <c r="A7" s="83" t="str">
        <f>HLOOKUP(Chosen, [0]!ToC_Headings, 2, FALSE)</f>
        <v>SPIS TREŚCI</v>
      </c>
    </row>
    <row r="8" spans="1:2" x14ac:dyDescent="0.3">
      <c r="A8" s="91" t="str">
        <f>HLOOKUP(Chosen, [0]!ToC_Headings, 3, FALSE)</f>
        <v xml:space="preserve">Uwaga: Skonsolidowane wyniki finansowe są sporządzane od I kw. 2016 r. </v>
      </c>
      <c r="B8" s="81"/>
    </row>
    <row r="9" spans="1:2" ht="24" customHeight="1" x14ac:dyDescent="0.3">
      <c r="A9" s="80" t="str">
        <f>HLOOKUP(Chosen,[0]!ToC_Headings, 4, FALSE)</f>
        <v>Skonsolidowane sprawozdanie z całkowitych dochodów</v>
      </c>
      <c r="B9" s="84" t="s">
        <v>155</v>
      </c>
    </row>
    <row r="10" spans="1:2" x14ac:dyDescent="0.3">
      <c r="A10" s="80" t="str">
        <f>HLOOKUP($A$5,[0]!ToC_Headings, 5, FALSE)</f>
        <v>Skonsolidowane sprawozdanie z sytuacji finansowej</v>
      </c>
      <c r="B10" s="84" t="s">
        <v>156</v>
      </c>
    </row>
    <row r="11" spans="1:2" x14ac:dyDescent="0.3">
      <c r="A11" s="80" t="str">
        <f>HLOOKUP($A$5, [0]!ToC_Headings, 6, FALSE)</f>
        <v>Skonsolidowane sprawozdanie z przepływów pieniężnych</v>
      </c>
      <c r="B11" s="84" t="s">
        <v>157</v>
      </c>
    </row>
    <row r="12" spans="1:2" x14ac:dyDescent="0.3">
      <c r="B12" s="84"/>
    </row>
    <row r="13" spans="1:2" x14ac:dyDescent="0.3">
      <c r="A13" s="80" t="str">
        <f>HLOOKUP($A$5, [0]!ToC_Headings, 8, FALSE)</f>
        <v>Jednostkowe sprawozdanie z całkowitych dochodów</v>
      </c>
      <c r="B13" s="84" t="s">
        <v>158</v>
      </c>
    </row>
    <row r="14" spans="1:2" x14ac:dyDescent="0.3">
      <c r="A14" s="80" t="str">
        <f>HLOOKUP($A$5, [0]!ToC_Headings, 9, FALSE)</f>
        <v>Jednostkowe sprawozdanie z sytuacji finansowej</v>
      </c>
      <c r="B14" s="84" t="s">
        <v>159</v>
      </c>
    </row>
    <row r="15" spans="1:2" x14ac:dyDescent="0.3">
      <c r="A15" s="80" t="str">
        <f>HLOOKUP($A$5, [0]!ToC_Headings, 10, FALSE)</f>
        <v>Jednostkowe sprawozdanie z przepływów pieniężnych</v>
      </c>
      <c r="B15" s="84" t="s">
        <v>160</v>
      </c>
    </row>
    <row r="16" spans="1:2" x14ac:dyDescent="0.3">
      <c r="B16" s="84"/>
    </row>
    <row r="17" spans="1:2" x14ac:dyDescent="0.3">
      <c r="A17" s="80" t="str">
        <f>HLOOKUP($A$5, [0]!ToC_Headings, 14, FALSE)</f>
        <v xml:space="preserve">Liczba złożonych wniosków o płatność od ubezpieczycieli </v>
      </c>
      <c r="B17" s="84" t="s">
        <v>1</v>
      </c>
    </row>
    <row r="18" spans="1:2" x14ac:dyDescent="0.3">
      <c r="A18" s="82"/>
      <c r="B18" s="87"/>
    </row>
    <row r="19" spans="1:2" x14ac:dyDescent="0.3">
      <c r="B19" s="85"/>
    </row>
    <row r="20" spans="1:2" x14ac:dyDescent="0.3">
      <c r="B20" s="86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error="Only valid languages are English &amp; Polish" prompt="Choose your language from the dropdown" sqref="A5" xr:uid="{00000000-0002-0000-0000-000000000000}">
      <formula1>Language</formula1>
    </dataValidation>
  </dataValidations>
  <hyperlinks>
    <hyperlink ref="B9" location="'P&amp;L CONS'!A1" display="P&amp;L CONS" xr:uid="{00000000-0004-0000-0000-000000000000}"/>
    <hyperlink ref="B10" location="'BS CONS'!A1" display="BS CONS" xr:uid="{00000000-0004-0000-0000-000001000000}"/>
    <hyperlink ref="B11" location="'CF CONS'!A1" display="CF CONS" xr:uid="{00000000-0004-0000-0000-000002000000}"/>
    <hyperlink ref="B13" location="'P&amp;L'!A1" display="P&amp;L " xr:uid="{00000000-0004-0000-0000-000003000000}"/>
    <hyperlink ref="B14" location="BS!A1" display="BS " xr:uid="{00000000-0004-0000-0000-000004000000}"/>
    <hyperlink ref="B15" location="CF!A1" display="CF " xr:uid="{00000000-0004-0000-0000-000005000000}"/>
    <hyperlink ref="B17" location="CLAIMS!A1" display="CLAIMS" xr:uid="{00000000-0004-0000-0000-000006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8"/>
  </sheetPr>
  <dimension ref="A1:AV44"/>
  <sheetViews>
    <sheetView showGridLines="0" zoomScale="90" zoomScaleNormal="90" workbookViewId="0">
      <pane xSplit="1" ySplit="2" topLeftCell="M3" activePane="bottomRight" state="frozen"/>
      <selection pane="topRight"/>
      <selection pane="bottomLeft"/>
      <selection pane="bottomRight" activeCell="AA3" sqref="AA3"/>
    </sheetView>
  </sheetViews>
  <sheetFormatPr defaultColWidth="9.33203125" defaultRowHeight="14.4" x14ac:dyDescent="0.3"/>
  <cols>
    <col min="1" max="1" width="47.44140625" style="2" customWidth="1"/>
    <col min="2" max="15" width="14" style="2" customWidth="1"/>
    <col min="16" max="20" width="13.44140625" style="2" customWidth="1"/>
    <col min="21" max="21" width="12" style="2" customWidth="1"/>
    <col min="22" max="22" width="11.5546875" style="2" customWidth="1"/>
    <col min="23" max="23" width="11" style="2" bestFit="1" customWidth="1"/>
    <col min="24" max="24" width="11" style="2" customWidth="1"/>
    <col min="25" max="16384" width="9.33203125" style="2"/>
  </cols>
  <sheetData>
    <row r="1" spans="1:48" x14ac:dyDescent="0.3">
      <c r="A1" s="76" t="str">
        <f>HLOOKUP(Chosen,Hide!$A$9:$C$11, 2, FALSE)</f>
        <v>SPIS TREŚCI</v>
      </c>
    </row>
    <row r="2" spans="1:48" s="32" customFormat="1" x14ac:dyDescent="0.3">
      <c r="A2" s="90" t="str">
        <f>HLOOKUP(Chosen,Hide!$A$64:$C$99, 36, FALSE)</f>
        <v>tys. PLN</v>
      </c>
      <c r="B2" s="58">
        <v>42460</v>
      </c>
      <c r="C2" s="58">
        <v>42551</v>
      </c>
      <c r="D2" s="58">
        <v>42643</v>
      </c>
      <c r="E2" s="58">
        <v>42735</v>
      </c>
      <c r="F2" s="58">
        <v>42825</v>
      </c>
      <c r="G2" s="58">
        <v>42916</v>
      </c>
      <c r="H2" s="58">
        <v>43008</v>
      </c>
      <c r="I2" s="58">
        <v>43100</v>
      </c>
      <c r="J2" s="58">
        <v>43190</v>
      </c>
      <c r="K2" s="58">
        <v>43281</v>
      </c>
      <c r="L2" s="58">
        <v>43373</v>
      </c>
      <c r="M2" s="58">
        <v>43465</v>
      </c>
      <c r="N2" s="58">
        <v>43555</v>
      </c>
      <c r="O2" s="58">
        <v>43646</v>
      </c>
      <c r="P2" s="58">
        <v>43738</v>
      </c>
      <c r="Q2" s="58">
        <v>43830</v>
      </c>
      <c r="R2" s="58">
        <v>43921</v>
      </c>
      <c r="S2" s="58">
        <v>44012</v>
      </c>
      <c r="T2" s="58">
        <v>44104</v>
      </c>
      <c r="U2" s="58">
        <v>44196</v>
      </c>
      <c r="V2" s="58">
        <v>44286</v>
      </c>
      <c r="W2" s="58">
        <v>44377</v>
      </c>
      <c r="X2" s="58">
        <v>44469</v>
      </c>
    </row>
    <row r="3" spans="1:48" x14ac:dyDescent="0.3">
      <c r="A3" s="43" t="str">
        <f>HLOOKUP(Chosen,[0]!BS_Cons, Hide!A65, FALSE)</f>
        <v>Wartości niematerialne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208163.37461308861</v>
      </c>
      <c r="P3" s="7">
        <v>220445.32833732013</v>
      </c>
      <c r="Q3" s="7">
        <v>209716.60894302189</v>
      </c>
      <c r="R3" s="7">
        <v>225903.20853855638</v>
      </c>
      <c r="S3" s="7">
        <v>216778.65096025658</v>
      </c>
      <c r="T3" s="7">
        <v>210556.1504248585</v>
      </c>
      <c r="U3" s="7">
        <v>201766.58415084597</v>
      </c>
      <c r="V3" s="7">
        <v>211204.68547511287</v>
      </c>
      <c r="W3" s="7">
        <v>196430.96914467035</v>
      </c>
      <c r="X3" s="7">
        <v>204048.16207104246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x14ac:dyDescent="0.3">
      <c r="A4" s="43" t="str">
        <f>HLOOKUP(Chosen,[0]!BS_Cons, Hide!A66, FALSE)</f>
        <v>Rzeczowe aktywa trwałe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18948.169046850151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41181.598093521701</v>
      </c>
      <c r="O4" s="7">
        <v>38866.572587078212</v>
      </c>
      <c r="P4" s="7">
        <v>36213.054878080846</v>
      </c>
      <c r="Q4" s="7">
        <v>31705.144488941191</v>
      </c>
      <c r="R4" s="7">
        <v>30234.616955579018</v>
      </c>
      <c r="S4" s="7">
        <v>27663.857432551456</v>
      </c>
      <c r="T4" s="7">
        <v>25049.576387462941</v>
      </c>
      <c r="U4" s="7">
        <v>23535.204443842747</v>
      </c>
      <c r="V4" s="7">
        <v>23174.917288843408</v>
      </c>
      <c r="W4" s="7">
        <v>23116.589621256306</v>
      </c>
      <c r="X4" s="7">
        <v>25723.296839039958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x14ac:dyDescent="0.3">
      <c r="A5" s="43" t="str">
        <f>HLOOKUP(Chosen,[0]!BS_Cons, Hide!A67, FALSE)</f>
        <v>Należności długoterminowe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56.388089999999998</v>
      </c>
      <c r="X5" s="7">
        <v>30.835238095238097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x14ac:dyDescent="0.3">
      <c r="A6" s="43" t="str">
        <f>HLOOKUP(Chosen,[0]!BS_Cons, Hide!A68, FALSE)</f>
        <v>Aktywa finansowe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200.00034179297089</v>
      </c>
      <c r="R6" s="7">
        <v>200.00037319397927</v>
      </c>
      <c r="S6" s="7">
        <v>200.00035825398564</v>
      </c>
      <c r="T6" s="7">
        <v>200.0003479219973</v>
      </c>
      <c r="U6" s="7">
        <v>200.00033825600147</v>
      </c>
      <c r="V6" s="7">
        <v>200</v>
      </c>
      <c r="W6" s="7">
        <v>162.11349999999999</v>
      </c>
      <c r="X6" s="7">
        <v>162.11385932499169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">
      <c r="A7" s="43" t="str">
        <f>HLOOKUP(Chosen,[0]!BS_Cons, Hide!A69, FALSE)</f>
        <v>Aktywa z tytułu odroczonego podatku dochodowego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2866.1289999999999</v>
      </c>
      <c r="I7" s="7">
        <v>3514</v>
      </c>
      <c r="J7" s="7">
        <v>3823</v>
      </c>
      <c r="K7" s="7">
        <v>2673</v>
      </c>
      <c r="L7" s="7">
        <v>3261.6569969184138</v>
      </c>
      <c r="M7" s="7">
        <v>1831.0042646550992</v>
      </c>
      <c r="N7" s="7">
        <v>1748.5221199999999</v>
      </c>
      <c r="O7" s="7">
        <v>2556.7182935999999</v>
      </c>
      <c r="P7" s="7">
        <v>3273.8780000000002</v>
      </c>
      <c r="Q7" s="7">
        <v>5240.2013383000003</v>
      </c>
      <c r="R7" s="7">
        <v>8982.8828255779736</v>
      </c>
      <c r="S7" s="7">
        <v>11601.484334504308</v>
      </c>
      <c r="T7" s="7">
        <v>16009.222478551366</v>
      </c>
      <c r="U7" s="7">
        <v>17160.800894264059</v>
      </c>
      <c r="V7" s="7">
        <v>20633.497411374865</v>
      </c>
      <c r="W7" s="7">
        <v>23606.255403882453</v>
      </c>
      <c r="X7" s="7">
        <v>28453.486307525043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s="6" customFormat="1" x14ac:dyDescent="0.3">
      <c r="A8" s="44" t="str">
        <f>HLOOKUP(Chosen,[0]!BS_Cons, Hide!A70, FALSE)</f>
        <v>Aktywa trwałe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257139.58287437761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8">
        <v>256243.99308556633</v>
      </c>
      <c r="T8" s="8">
        <v>251814.94963879479</v>
      </c>
      <c r="U8" s="8">
        <v>242662.58982720878</v>
      </c>
      <c r="V8" s="8">
        <v>255213.10017533114</v>
      </c>
      <c r="W8" s="8">
        <v>243372.31575980911</v>
      </c>
      <c r="X8" s="8">
        <f>258417.894351791-1</f>
        <v>258416.89435179101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x14ac:dyDescent="0.3">
      <c r="A9" s="43" t="str">
        <f>HLOOKUP(Chosen,[0]!BS_Cons, Hide!A71, FALSE)</f>
        <v>Zapasy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3">
      <c r="A10" s="43" t="str">
        <f>HLOOKUP(Chosen,[0]!BS_Cons, Hide!A72, FALSE)</f>
        <v>Należności z tytułu dostaw i usług oraz pozostałe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26370.526927359999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>
        <v>23311.503767031089</v>
      </c>
      <c r="T10" s="7">
        <v>21217.442722238604</v>
      </c>
      <c r="U10" s="7">
        <v>24544.369436469296</v>
      </c>
      <c r="V10" s="7">
        <v>32874.812703286574</v>
      </c>
      <c r="W10" s="7">
        <v>28367.95728636095</v>
      </c>
      <c r="X10" s="7">
        <v>27510.692592115207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3">
      <c r="A11" s="43" t="str">
        <f>HLOOKUP(Chosen,[0]!BS_Cons, Hide!A73, FALSE)</f>
        <v>Aktywa finansowe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9172.2999999999993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5942.2306900000003</v>
      </c>
      <c r="N11" s="7">
        <v>5920.0190500000008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x14ac:dyDescent="0.3">
      <c r="A12" s="43" t="str">
        <f>HLOOKUP(Chosen,[0]!BS_Cons, Hide!A74, FALSE)</f>
        <v>Środki pieniężne i ich ekwiwalenty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30188.330437152999</v>
      </c>
      <c r="I12" s="7">
        <v>32531</v>
      </c>
      <c r="J12" s="7">
        <v>26029</v>
      </c>
      <c r="K12" s="7">
        <v>44440</v>
      </c>
      <c r="L12" s="7">
        <v>47801.715432247998</v>
      </c>
      <c r="M12" s="7">
        <v>60188.718311751007</v>
      </c>
      <c r="N12" s="7">
        <v>63353.247295246714</v>
      </c>
      <c r="O12" s="7">
        <v>20886.935635073543</v>
      </c>
      <c r="P12" s="7">
        <v>18677.129654077329</v>
      </c>
      <c r="Q12" s="7">
        <v>11150.094682432078</v>
      </c>
      <c r="R12" s="7">
        <v>6271.2697138243111</v>
      </c>
      <c r="S12" s="7">
        <v>40975.477993581961</v>
      </c>
      <c r="T12" s="7">
        <v>32704.745360243305</v>
      </c>
      <c r="U12" s="7">
        <v>16196.963174138302</v>
      </c>
      <c r="V12" s="7">
        <v>23730.070904305405</v>
      </c>
      <c r="W12" s="7">
        <v>16137.51660261763</v>
      </c>
      <c r="X12" s="7">
        <v>7928.8655805218614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s="6" customFormat="1" x14ac:dyDescent="0.3">
      <c r="A13" s="44" t="str">
        <f>HLOOKUP(Chosen,[0]!BS_Cons, Hide!A75, FALSE)</f>
        <v>Aktywa obrotowe</v>
      </c>
      <c r="B13" s="8">
        <v>68799</v>
      </c>
      <c r="C13" s="8">
        <v>54983</v>
      </c>
      <c r="D13" s="8">
        <v>59851</v>
      </c>
      <c r="E13" s="8">
        <v>89566</v>
      </c>
      <c r="F13" s="8">
        <v>43586</v>
      </c>
      <c r="G13" s="8">
        <v>48226</v>
      </c>
      <c r="H13" s="8">
        <v>63072.277024154995</v>
      </c>
      <c r="I13" s="8">
        <v>60708</v>
      </c>
      <c r="J13" s="8">
        <v>58727</v>
      </c>
      <c r="K13" s="8">
        <v>81516</v>
      </c>
      <c r="L13" s="8">
        <v>78177.581860470003</v>
      </c>
      <c r="M13" s="8">
        <v>88912.310869331006</v>
      </c>
      <c r="N13" s="8">
        <v>94539.378998461514</v>
      </c>
      <c r="O13" s="8">
        <v>43173.357539659744</v>
      </c>
      <c r="P13" s="8">
        <v>43591.777236602786</v>
      </c>
      <c r="Q13" s="8">
        <v>36399.681802891151</v>
      </c>
      <c r="R13" s="8">
        <v>33884.492869063928</v>
      </c>
      <c r="S13" s="8">
        <v>64286.981760613053</v>
      </c>
      <c r="T13" s="8">
        <v>53922.188082481909</v>
      </c>
      <c r="U13" s="8">
        <v>40741.332610607598</v>
      </c>
      <c r="V13" s="8">
        <v>56604.733607591981</v>
      </c>
      <c r="W13" s="8">
        <v>44505.612888978583</v>
      </c>
      <c r="X13" s="8">
        <v>35439.558172637066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18" customFormat="1" x14ac:dyDescent="0.3">
      <c r="A14" s="45" t="str">
        <f>HLOOKUP(Chosen,[0]!BS_Cons, Hide!A76, FALSE)</f>
        <v>AKTYWA RAZEM</v>
      </c>
      <c r="B14" s="17">
        <v>225521</v>
      </c>
      <c r="C14" s="17">
        <v>232635</v>
      </c>
      <c r="D14" s="17">
        <v>235357</v>
      </c>
      <c r="E14" s="17">
        <v>369891</v>
      </c>
      <c r="F14" s="17">
        <v>313797</v>
      </c>
      <c r="G14" s="17">
        <v>297058</v>
      </c>
      <c r="H14" s="17">
        <v>301563.39112665225</v>
      </c>
      <c r="I14" s="17">
        <v>289281</v>
      </c>
      <c r="J14" s="17">
        <v>282431</v>
      </c>
      <c r="K14" s="17">
        <v>309673.97074366274</v>
      </c>
      <c r="L14" s="17">
        <v>303826.53954072745</v>
      </c>
      <c r="M14" s="17">
        <v>316081.92129050696</v>
      </c>
      <c r="N14" s="17">
        <v>351678.96187283914</v>
      </c>
      <c r="O14" s="17">
        <v>292960.02336945053</v>
      </c>
      <c r="P14" s="17">
        <v>303724.03881200374</v>
      </c>
      <c r="Q14" s="17">
        <v>283261.63691494719</v>
      </c>
      <c r="R14" s="17">
        <v>299205.3515619713</v>
      </c>
      <c r="S14" s="17">
        <v>320531.08484617935</v>
      </c>
      <c r="T14" s="17">
        <v>305737.13772127673</v>
      </c>
      <c r="U14" s="17">
        <v>283403.92243781639</v>
      </c>
      <c r="V14" s="17">
        <v>311817.98378292314</v>
      </c>
      <c r="W14" s="17">
        <v>287877.92864878767</v>
      </c>
      <c r="X14" s="17">
        <v>293857.45252442837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x14ac:dyDescent="0.3">
      <c r="A15" s="43" t="str">
        <f>HLOOKUP(Chosen,[0]!BS_Cons, Hide!A77, FALSE)</f>
        <v>Kapitał zakładowy</v>
      </c>
      <c r="B15" s="7">
        <v>361</v>
      </c>
      <c r="C15" s="7">
        <v>361</v>
      </c>
      <c r="D15" s="7">
        <v>361</v>
      </c>
      <c r="E15" s="7">
        <v>361</v>
      </c>
      <c r="F15" s="7">
        <v>361</v>
      </c>
      <c r="G15" s="7">
        <v>361</v>
      </c>
      <c r="H15" s="7">
        <v>360.65259999999995</v>
      </c>
      <c r="I15" s="7">
        <v>361</v>
      </c>
      <c r="J15" s="7">
        <v>361</v>
      </c>
      <c r="K15" s="7">
        <v>360.65259999999995</v>
      </c>
      <c r="L15" s="7">
        <v>360.65259999999995</v>
      </c>
      <c r="M15" s="7">
        <v>360.65259999999995</v>
      </c>
      <c r="N15" s="7">
        <v>360.65259999999995</v>
      </c>
      <c r="O15" s="7">
        <v>360.65260000000012</v>
      </c>
      <c r="P15" s="7">
        <v>360.65260000000001</v>
      </c>
      <c r="Q15" s="7">
        <v>360.65259999999995</v>
      </c>
      <c r="R15" s="7">
        <v>360.65259999999995</v>
      </c>
      <c r="S15" s="7">
        <v>432.78290000000004</v>
      </c>
      <c r="T15" s="119">
        <f>'[1]konsolidacja 3Q20'!$H$34/1000</f>
        <v>432.78290000000004</v>
      </c>
      <c r="U15" s="7">
        <v>432.78290000000015</v>
      </c>
      <c r="V15" s="7">
        <v>432.78290000000004</v>
      </c>
      <c r="W15" s="7">
        <v>432.78290000000004</v>
      </c>
      <c r="X15" s="7">
        <v>432.78290000000004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x14ac:dyDescent="0.3">
      <c r="A16" s="43" t="str">
        <f>HLOOKUP(Chosen,[0]!BS_Cons, Hide!A78, FALSE)</f>
        <v>Kapitał zapasowy</v>
      </c>
      <c r="B16" s="7">
        <v>116668</v>
      </c>
      <c r="C16" s="7">
        <v>124620</v>
      </c>
      <c r="D16" s="7">
        <v>124620</v>
      </c>
      <c r="E16" s="7">
        <v>124622</v>
      </c>
      <c r="F16" s="7">
        <v>124622</v>
      </c>
      <c r="G16" s="7">
        <v>124622</v>
      </c>
      <c r="H16" s="7">
        <v>124622.27051955703</v>
      </c>
      <c r="I16" s="7">
        <v>124622</v>
      </c>
      <c r="J16" s="7">
        <v>124622</v>
      </c>
      <c r="K16" s="7">
        <v>124622.27052232003</v>
      </c>
      <c r="L16" s="7">
        <v>124622.270520262</v>
      </c>
      <c r="M16" s="7">
        <v>124622.27052279109</v>
      </c>
      <c r="N16" s="7">
        <v>124622.27052509501</v>
      </c>
      <c r="O16" s="7">
        <v>124622.27052200798</v>
      </c>
      <c r="P16" s="7">
        <v>124622.27053000004</v>
      </c>
      <c r="Q16" s="7">
        <v>124622.27052393109</v>
      </c>
      <c r="R16" s="7">
        <v>124622.27053439814</v>
      </c>
      <c r="S16" s="7">
        <v>137128.4107794181</v>
      </c>
      <c r="T16" s="119">
        <f>'[1]konsolidacja 3Q20'!$H$35/1000</f>
        <v>137128.41077597399</v>
      </c>
      <c r="U16" s="7">
        <v>137128.56077275204</v>
      </c>
      <c r="V16" s="7">
        <v>137129.41087098533</v>
      </c>
      <c r="W16" s="7">
        <v>137128.51162917088</v>
      </c>
      <c r="X16" s="7">
        <v>137128.51167732998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7" x14ac:dyDescent="0.3">
      <c r="A17" s="43" t="str">
        <f>HLOOKUP(Chosen,[0]!BS_Cons, Hide!A79, FALSE)</f>
        <v>Kapitał z wyceny programu motywacyjnego</v>
      </c>
      <c r="B17" s="7">
        <v>793</v>
      </c>
      <c r="C17" s="7">
        <v>1585</v>
      </c>
      <c r="D17" s="7">
        <v>2378</v>
      </c>
      <c r="E17" s="7">
        <v>3170</v>
      </c>
      <c r="F17" s="7">
        <v>4174</v>
      </c>
      <c r="G17" s="7">
        <v>5179</v>
      </c>
      <c r="H17" s="7">
        <v>5179</v>
      </c>
      <c r="I17" s="7">
        <v>5312</v>
      </c>
      <c r="J17" s="7">
        <v>6054</v>
      </c>
      <c r="K17" s="7">
        <v>6796.5</v>
      </c>
      <c r="L17" s="7">
        <v>7538.75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119">
        <f>'[1]konsolidacja 3Q20'!$H$36</f>
        <v>0</v>
      </c>
      <c r="U17" s="7">
        <v>0</v>
      </c>
      <c r="V17" s="7">
        <v>0</v>
      </c>
      <c r="W17" s="7">
        <v>0</v>
      </c>
      <c r="X17" s="7"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3">
      <c r="A18" s="43" t="str">
        <f>HLOOKUP(Chosen,[0]!BS_Cons, Hide!A80, FALSE)</f>
        <v>Zyski zatrzymane</v>
      </c>
      <c r="B18" s="7">
        <v>7941</v>
      </c>
      <c r="C18" s="7">
        <v>4716</v>
      </c>
      <c r="D18" s="7">
        <v>9221</v>
      </c>
      <c r="E18" s="7">
        <v>40108</v>
      </c>
      <c r="F18" s="7">
        <v>42070</v>
      </c>
      <c r="G18" s="7">
        <v>42634</v>
      </c>
      <c r="H18" s="7">
        <v>51087.716414890412</v>
      </c>
      <c r="I18" s="7">
        <v>58434</v>
      </c>
      <c r="J18" s="7">
        <v>62534</v>
      </c>
      <c r="K18" s="7">
        <v>59847.552122276633</v>
      </c>
      <c r="L18" s="7">
        <v>61694.685189883356</v>
      </c>
      <c r="M18" s="7">
        <v>72031.930296118604</v>
      </c>
      <c r="N18" s="7">
        <v>76498.924022695268</v>
      </c>
      <c r="O18" s="7">
        <v>77901.906067828735</v>
      </c>
      <c r="P18" s="7">
        <v>77981.724845757984</v>
      </c>
      <c r="Q18" s="7">
        <v>76310.922789075601</v>
      </c>
      <c r="R18" s="7">
        <v>73046</v>
      </c>
      <c r="S18" s="7">
        <v>71854.467361778748</v>
      </c>
      <c r="T18" s="7">
        <v>68409.572902415457</v>
      </c>
      <c r="U18" s="7">
        <v>75880.462600075873</v>
      </c>
      <c r="V18" s="7">
        <v>74867.869932786896</v>
      </c>
      <c r="W18" s="7">
        <v>73017.152453608374</v>
      </c>
      <c r="X18" s="114">
        <v>71662.459448252106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3">
      <c r="A19" s="43" t="str">
        <f>HLOOKUP(Chosen,[0]!BS_Cons, Hide!A81, FALSE)</f>
        <v>Różnice kursowe</v>
      </c>
      <c r="B19" s="11">
        <v>0</v>
      </c>
      <c r="C19" s="7">
        <v>-4006</v>
      </c>
      <c r="D19" s="7">
        <v>-2274</v>
      </c>
      <c r="E19" s="7">
        <v>8709</v>
      </c>
      <c r="F19" s="7">
        <v>561</v>
      </c>
      <c r="G19" s="7">
        <v>-9598</v>
      </c>
      <c r="H19" s="7">
        <v>-12006.859082095325</v>
      </c>
      <c r="I19" s="7">
        <v>-19816</v>
      </c>
      <c r="J19" s="7">
        <v>-22781</v>
      </c>
      <c r="K19" s="7">
        <v>-7896.6807136664447</v>
      </c>
      <c r="L19" s="7">
        <v>-11060.026128733631</v>
      </c>
      <c r="M19" s="7">
        <v>-7150.746326524556</v>
      </c>
      <c r="N19" s="7">
        <v>-3532.9819182376627</v>
      </c>
      <c r="O19" s="7">
        <v>-8399.544564938622</v>
      </c>
      <c r="P19" s="7">
        <v>3225.1408260968446</v>
      </c>
      <c r="Q19" s="7">
        <v>-5453.9961886128167</v>
      </c>
      <c r="R19" s="7">
        <v>8709</v>
      </c>
      <c r="S19" s="7">
        <v>2309.5058815382299</v>
      </c>
      <c r="T19" s="7">
        <v>-2387.8126919183605</v>
      </c>
      <c r="U19" s="7">
        <v>-6087.4763125767931</v>
      </c>
      <c r="V19" s="7">
        <v>1392.5659619398118</v>
      </c>
      <c r="W19" s="7">
        <v>-4430.734578255081</v>
      </c>
      <c r="X19" s="7">
        <v>2161.117228948056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6" customFormat="1" x14ac:dyDescent="0.3">
      <c r="A20" s="44" t="str">
        <f>HLOOKUP(Chosen,[0]!BS_Cons, Hide!A82, FALSE)</f>
        <v>Kapitał własny przypadający na Akcjonariuszy Jednostki Dominującej</v>
      </c>
      <c r="B20" s="8">
        <v>125763</v>
      </c>
      <c r="C20" s="8">
        <v>127276</v>
      </c>
      <c r="D20" s="8">
        <v>134306</v>
      </c>
      <c r="E20" s="8">
        <v>176970</v>
      </c>
      <c r="F20" s="8">
        <v>171788</v>
      </c>
      <c r="G20" s="8">
        <v>163198</v>
      </c>
      <c r="H20" s="8">
        <v>169242.78045235213</v>
      </c>
      <c r="I20" s="8">
        <v>168913</v>
      </c>
      <c r="J20" s="8">
        <v>170790</v>
      </c>
      <c r="K20" s="8">
        <v>183730.5445309302</v>
      </c>
      <c r="L20" s="8">
        <v>183156.53218141172</v>
      </c>
      <c r="M20" s="8">
        <v>189864.10709238515</v>
      </c>
      <c r="N20" s="8">
        <v>197948.86522955261</v>
      </c>
      <c r="O20" s="8">
        <v>194485.28462489811</v>
      </c>
      <c r="P20" s="8">
        <v>206189.78880185485</v>
      </c>
      <c r="Q20" s="8">
        <v>195839.84972439386</v>
      </c>
      <c r="R20" s="8">
        <v>206738.45533613852</v>
      </c>
      <c r="S20" s="8">
        <v>211725.16692273508</v>
      </c>
      <c r="T20" s="120">
        <v>203582.95388647108</v>
      </c>
      <c r="U20" s="120">
        <v>207354.52996025112</v>
      </c>
      <c r="V20" s="120">
        <v>213822.62966571201</v>
      </c>
      <c r="W20" s="120">
        <v>206147.71240452418</v>
      </c>
      <c r="X20" s="120">
        <v>211385.17125453017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6" customFormat="1" x14ac:dyDescent="0.3">
      <c r="A21" s="44" t="str">
        <f>HLOOKUP(Chosen,[0]!BS_Cons, Hide!A83, FALSE)</f>
        <v>Udziały niedające kontroli</v>
      </c>
      <c r="B21" s="8">
        <v>7926</v>
      </c>
      <c r="C21" s="8">
        <v>6498</v>
      </c>
      <c r="D21" s="8">
        <v>7390</v>
      </c>
      <c r="E21" s="8">
        <v>37976</v>
      </c>
      <c r="F21" s="8">
        <v>34884</v>
      </c>
      <c r="G21" s="8">
        <v>36804</v>
      </c>
      <c r="H21" s="8">
        <v>39040.308567551547</v>
      </c>
      <c r="I21" s="8">
        <v>34820</v>
      </c>
      <c r="J21" s="8">
        <v>34062</v>
      </c>
      <c r="K21" s="8">
        <v>38086.546012434759</v>
      </c>
      <c r="L21" s="8">
        <v>37952.864230444233</v>
      </c>
      <c r="M21" s="8">
        <v>40897.508560831142</v>
      </c>
      <c r="N21" s="8">
        <v>42188.589281970948</v>
      </c>
      <c r="O21" s="8">
        <v>32504.973294913165</v>
      </c>
      <c r="P21" s="8">
        <v>33054.159054331118</v>
      </c>
      <c r="Q21" s="8">
        <v>28882.085519406726</v>
      </c>
      <c r="R21" s="8">
        <v>27721.13881581675</v>
      </c>
      <c r="S21" s="8">
        <v>23362.484032605196</v>
      </c>
      <c r="T21" s="120">
        <v>18522.437559550599</v>
      </c>
      <c r="U21" s="120">
        <v>10.214769566656322</v>
      </c>
      <c r="V21" s="120">
        <v>9.4949248062178384</v>
      </c>
      <c r="W21" s="120">
        <v>8.6708109103457538</v>
      </c>
      <c r="X21" s="120">
        <v>8.6708085337326626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x14ac:dyDescent="0.3">
      <c r="A22" s="43" t="str">
        <f>HLOOKUP(Chosen,[0]!BS_Cons, Hide!A84, FALSE)</f>
        <v>Rezerwy</v>
      </c>
      <c r="B22" s="11">
        <v>0</v>
      </c>
      <c r="C22" s="7">
        <v>30</v>
      </c>
      <c r="D22" s="7">
        <v>55</v>
      </c>
      <c r="E22" s="7">
        <v>414</v>
      </c>
      <c r="F22" s="7">
        <v>474</v>
      </c>
      <c r="G22" s="7">
        <v>502</v>
      </c>
      <c r="H22" s="7">
        <v>401.65868</v>
      </c>
      <c r="I22" s="7">
        <v>1170</v>
      </c>
      <c r="J22" s="7">
        <v>971</v>
      </c>
      <c r="K22" s="7">
        <v>1408.67968064</v>
      </c>
      <c r="L22" s="7">
        <v>1722.5027137760001</v>
      </c>
      <c r="M22" s="7">
        <v>1789.575797732</v>
      </c>
      <c r="N22" s="7">
        <v>2101.2471869999999</v>
      </c>
      <c r="O22" s="7">
        <v>2234.9895467999995</v>
      </c>
      <c r="P22" s="7">
        <v>2179.4002500000001</v>
      </c>
      <c r="Q22" s="7">
        <v>2022.991938745</v>
      </c>
      <c r="R22" s="7">
        <v>2480.5496050679999</v>
      </c>
      <c r="S22" s="7">
        <v>2956.0884326199998</v>
      </c>
      <c r="T22" s="121">
        <v>3074.1286656480002</v>
      </c>
      <c r="U22" s="7">
        <v>2972.8932829440005</v>
      </c>
      <c r="V22" s="7">
        <v>3620.6466104680003</v>
      </c>
      <c r="W22" s="7">
        <v>3868.5404420050004</v>
      </c>
      <c r="X22" s="7">
        <v>3629.2177365500002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3">
      <c r="A23" s="43" t="str">
        <f>HLOOKUP(Chosen,[0]!BS_Cons, Hide!A85, FALSE)</f>
        <v>Rezerwa z tytułu odroczonego podatku dochodowego</v>
      </c>
      <c r="B23" s="7">
        <v>19</v>
      </c>
      <c r="C23" s="7">
        <v>454</v>
      </c>
      <c r="D23" s="7">
        <v>604</v>
      </c>
      <c r="E23" s="7">
        <v>3659</v>
      </c>
      <c r="F23" s="7">
        <v>3310</v>
      </c>
      <c r="G23" s="7">
        <v>2995</v>
      </c>
      <c r="H23" s="7">
        <v>3389.7673599406053</v>
      </c>
      <c r="I23" s="7">
        <v>2250</v>
      </c>
      <c r="J23" s="7">
        <v>2921</v>
      </c>
      <c r="K23" s="7">
        <v>3409.8260988257894</v>
      </c>
      <c r="L23" s="7">
        <v>3101.0701673572894</v>
      </c>
      <c r="M23" s="7">
        <v>3305.6427166374165</v>
      </c>
      <c r="N23" s="7">
        <v>3484.8324208101903</v>
      </c>
      <c r="O23" s="7">
        <v>3644.8846427029175</v>
      </c>
      <c r="P23" s="7">
        <v>3935.3207025450297</v>
      </c>
      <c r="Q23" s="7">
        <v>3343.2782869911312</v>
      </c>
      <c r="R23" s="7">
        <v>5520.3164979165158</v>
      </c>
      <c r="S23" s="7">
        <v>4818.5327396515668</v>
      </c>
      <c r="T23" s="121">
        <v>4546.5970199074773</v>
      </c>
      <c r="U23" s="7">
        <v>5330.5501397485004</v>
      </c>
      <c r="V23" s="7">
        <v>5971.6523528255921</v>
      </c>
      <c r="W23" s="7">
        <v>5527.7509896908869</v>
      </c>
      <c r="X23" s="7">
        <v>6876.9378032999211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3">
      <c r="A24" s="43" t="str">
        <f>HLOOKUP(Chosen,[0]!BS_Cons, Hide!A86, FALSE)</f>
        <v>Kredyty i pożyczki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232.46567882352946</v>
      </c>
      <c r="M24" s="7">
        <v>216.383295</v>
      </c>
      <c r="N24" s="7">
        <v>200.01992999999999</v>
      </c>
      <c r="O24" s="7">
        <v>8099.5706357142863</v>
      </c>
      <c r="P24" s="7">
        <v>5707.5303815384623</v>
      </c>
      <c r="Q24" s="7">
        <v>9844.5860877142877</v>
      </c>
      <c r="R24" s="7">
        <v>8575.7422709090915</v>
      </c>
      <c r="S24" s="7">
        <v>19729.057147</v>
      </c>
      <c r="T24" s="121">
        <v>17758.026230777778</v>
      </c>
      <c r="U24" s="7">
        <v>12127.927134</v>
      </c>
      <c r="V24" s="7">
        <v>20720.237735999999</v>
      </c>
      <c r="W24" s="7">
        <v>7653.4460899999995</v>
      </c>
      <c r="X24" s="7">
        <v>8010.5731900000001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3">
      <c r="A25" s="43" t="str">
        <f>HLOOKUP(Chosen,[0]!BS_Cons, Hide!A87, FALSE)</f>
        <v>Zobowiązania z tytułu obligacji i inne zobowiązania finansowe</v>
      </c>
      <c r="B25" s="7">
        <v>24485</v>
      </c>
      <c r="C25" s="7">
        <v>75688</v>
      </c>
      <c r="D25" s="7">
        <v>74804</v>
      </c>
      <c r="E25" s="7">
        <v>76961</v>
      </c>
      <c r="F25" s="7">
        <v>65489</v>
      </c>
      <c r="G25" s="7">
        <v>64589</v>
      </c>
      <c r="H25" s="7">
        <v>64423.13979880001</v>
      </c>
      <c r="I25" s="7">
        <v>63794</v>
      </c>
      <c r="J25" s="7">
        <v>56779</v>
      </c>
      <c r="K25" s="7">
        <v>7447.7557440000028</v>
      </c>
      <c r="L25" s="7">
        <v>7311.2931244000056</v>
      </c>
      <c r="M25" s="7">
        <v>7478.9869891999979</v>
      </c>
      <c r="N25" s="7">
        <v>19428.764784845032</v>
      </c>
      <c r="O25" s="7">
        <v>17728.377248741992</v>
      </c>
      <c r="P25" s="7">
        <v>16460.06729848004</v>
      </c>
      <c r="Q25" s="7">
        <v>14393.789234556205</v>
      </c>
      <c r="R25" s="7">
        <v>14373.330470034405</v>
      </c>
      <c r="S25" s="7">
        <v>12288.717753477096</v>
      </c>
      <c r="T25" s="121">
        <v>10762.226066441901</v>
      </c>
      <c r="U25" s="7">
        <v>17181.657382861235</v>
      </c>
      <c r="V25" s="7">
        <v>16274.146607352175</v>
      </c>
      <c r="W25" s="7">
        <v>13941.863913048648</v>
      </c>
      <c r="X25" s="7">
        <v>12604.271312552921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3">
      <c r="A26" s="59" t="str">
        <f>HLOOKUP(Chosen,Hide!$A$64:$C$98, 35, FALSE)</f>
        <v>Pozostałe zobowiązania</v>
      </c>
      <c r="B26" s="11">
        <v>0</v>
      </c>
      <c r="C26" s="7">
        <v>0</v>
      </c>
      <c r="D26" s="7">
        <v>0</v>
      </c>
      <c r="E26" s="7">
        <v>0</v>
      </c>
      <c r="F26" s="7">
        <v>0</v>
      </c>
      <c r="G26" s="7">
        <v>160</v>
      </c>
      <c r="H26" s="7">
        <v>160</v>
      </c>
      <c r="I26" s="7">
        <v>120</v>
      </c>
      <c r="J26" s="7">
        <v>120</v>
      </c>
      <c r="K26" s="7">
        <v>120</v>
      </c>
      <c r="L26" s="7">
        <v>80</v>
      </c>
      <c r="M26" s="7">
        <v>80</v>
      </c>
      <c r="N26" s="7">
        <v>80</v>
      </c>
      <c r="O26" s="7">
        <v>40</v>
      </c>
      <c r="P26" s="7">
        <v>40</v>
      </c>
      <c r="Q26" s="7">
        <v>0</v>
      </c>
      <c r="R26" s="7">
        <v>0</v>
      </c>
      <c r="S26" s="7">
        <v>0</v>
      </c>
      <c r="T26" s="121">
        <v>0</v>
      </c>
      <c r="U26" s="7">
        <v>0</v>
      </c>
      <c r="V26" s="7">
        <v>0</v>
      </c>
      <c r="W26" s="7">
        <v>144.31960999999998</v>
      </c>
      <c r="X26" s="7">
        <v>144.31960999999998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3">
      <c r="A27" s="43" t="str">
        <f>HLOOKUP(Chosen,[0]!BS_Cons, Hide!A88, FALSE)</f>
        <v>Rozliczenia międzyokresowe</v>
      </c>
      <c r="B27" s="11">
        <v>0</v>
      </c>
      <c r="C27" s="7">
        <v>1208</v>
      </c>
      <c r="D27" s="7">
        <v>708</v>
      </c>
      <c r="E27" s="7">
        <v>629</v>
      </c>
      <c r="F27" s="7">
        <v>550</v>
      </c>
      <c r="G27" s="7">
        <v>472</v>
      </c>
      <c r="H27" s="7">
        <v>393.19919000000004</v>
      </c>
      <c r="I27" s="7">
        <v>315</v>
      </c>
      <c r="J27" s="7">
        <v>236</v>
      </c>
      <c r="K27" s="7">
        <v>239.39449999999999</v>
      </c>
      <c r="L27" s="7">
        <v>287.37938000000003</v>
      </c>
      <c r="M27" s="7">
        <v>385.88148000000007</v>
      </c>
      <c r="N27" s="7">
        <v>517.72914000000003</v>
      </c>
      <c r="O27" s="7">
        <v>686.75741000000005</v>
      </c>
      <c r="P27" s="7">
        <v>856.33222999999998</v>
      </c>
      <c r="Q27" s="7">
        <v>1026.4482319079998</v>
      </c>
      <c r="R27" s="7">
        <v>1075.729398378</v>
      </c>
      <c r="S27" s="7">
        <v>1210.1432399999999</v>
      </c>
      <c r="T27" s="121">
        <v>5449.4056200000005</v>
      </c>
      <c r="U27" s="7">
        <v>1279.1780900000001</v>
      </c>
      <c r="V27" s="7">
        <v>1703.0327500000001</v>
      </c>
      <c r="W27" s="7">
        <v>2131.3854200000001</v>
      </c>
      <c r="X27" s="7">
        <v>2517.0025299999998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6" customFormat="1" x14ac:dyDescent="0.3">
      <c r="A28" s="44" t="str">
        <f>HLOOKUP(Chosen,[0]!BS_Cons, Hide!A89, FALSE)</f>
        <v>Zobowiązania długoterminowe</v>
      </c>
      <c r="B28" s="8">
        <v>24504</v>
      </c>
      <c r="C28" s="8">
        <v>77380</v>
      </c>
      <c r="D28" s="8">
        <v>76171</v>
      </c>
      <c r="E28" s="8">
        <v>81663</v>
      </c>
      <c r="F28" s="8">
        <v>69823</v>
      </c>
      <c r="G28" s="8">
        <v>68718</v>
      </c>
      <c r="H28" s="8">
        <v>68767.765028740614</v>
      </c>
      <c r="I28" s="8">
        <v>67649</v>
      </c>
      <c r="J28" s="8">
        <v>61027</v>
      </c>
      <c r="K28" s="8">
        <v>12625.656023465794</v>
      </c>
      <c r="L28" s="8">
        <v>12734.491064356826</v>
      </c>
      <c r="M28" s="8">
        <v>13256.520278569413</v>
      </c>
      <c r="N28" s="8">
        <v>25812.593462655223</v>
      </c>
      <c r="O28" s="8">
        <v>32434.579483959194</v>
      </c>
      <c r="P28" s="8">
        <v>29178.430862563531</v>
      </c>
      <c r="Q28" s="8">
        <v>30631.09377991462</v>
      </c>
      <c r="R28" s="8">
        <v>32025.668242306012</v>
      </c>
      <c r="S28" s="8">
        <v>41002.53931274866</v>
      </c>
      <c r="T28" s="120">
        <v>41590.163602775152</v>
      </c>
      <c r="U28" s="120">
        <v>38892.506029553741</v>
      </c>
      <c r="V28" s="120">
        <v>48289.816056645766</v>
      </c>
      <c r="W28" s="120">
        <v>33267.306464744535</v>
      </c>
      <c r="X28" s="120">
        <v>33782.322182402844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x14ac:dyDescent="0.3">
      <c r="A29" s="43" t="str">
        <f>HLOOKUP(Chosen,[0]!BS_Cons, Hide!A90, FALSE)</f>
        <v>Kredyty i pożyczki</v>
      </c>
      <c r="B29" s="7">
        <v>1072</v>
      </c>
      <c r="C29" s="7">
        <v>1026</v>
      </c>
      <c r="D29" s="7">
        <v>856</v>
      </c>
      <c r="E29" s="7">
        <v>69</v>
      </c>
      <c r="F29" s="7">
        <v>1303</v>
      </c>
      <c r="G29" s="7">
        <v>2582</v>
      </c>
      <c r="H29" s="7">
        <v>591.53216859499992</v>
      </c>
      <c r="I29" s="7">
        <v>873</v>
      </c>
      <c r="J29" s="7">
        <v>8</v>
      </c>
      <c r="K29" s="7">
        <v>28.484269999999999</v>
      </c>
      <c r="L29" s="7">
        <v>103.24953117647057</v>
      </c>
      <c r="M29" s="7">
        <v>111.47877500000003</v>
      </c>
      <c r="N29" s="7">
        <v>114.63051000000002</v>
      </c>
      <c r="O29" s="7">
        <v>9587.6487742857134</v>
      </c>
      <c r="P29" s="7">
        <v>9631.1179584615384</v>
      </c>
      <c r="Q29" s="7">
        <v>3057.3384522857145</v>
      </c>
      <c r="R29" s="7">
        <v>3100.0116090909096</v>
      </c>
      <c r="S29" s="7">
        <v>4099.6679139999997</v>
      </c>
      <c r="T29" s="121">
        <v>5133.2687722222227</v>
      </c>
      <c r="U29" s="7">
        <v>2928.4898299999995</v>
      </c>
      <c r="V29" s="7">
        <v>11477.481860000002</v>
      </c>
      <c r="W29" s="7">
        <v>12643.16671</v>
      </c>
      <c r="X29" s="7">
        <v>10504.521070000001</v>
      </c>
      <c r="Y29" s="5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3">
      <c r="A30" s="43" t="str">
        <f>HLOOKUP(Chosen,[0]!BS_Cons, Hide!A91, FALSE)</f>
        <v>Zobowiązania z tytułu obligacji i inne zobowiązania finansowe</v>
      </c>
      <c r="B30" s="7">
        <v>55700</v>
      </c>
      <c r="C30" s="7">
        <v>8840</v>
      </c>
      <c r="D30" s="7">
        <v>10056</v>
      </c>
      <c r="E30" s="7">
        <v>10511</v>
      </c>
      <c r="F30" s="7">
        <v>16817</v>
      </c>
      <c r="G30" s="7">
        <v>7912</v>
      </c>
      <c r="H30" s="7">
        <v>8709.6397928150054</v>
      </c>
      <c r="I30" s="7">
        <v>7887</v>
      </c>
      <c r="J30" s="7">
        <v>7814</v>
      </c>
      <c r="K30" s="7">
        <v>57959.486961199997</v>
      </c>
      <c r="L30" s="7">
        <v>58708.8790706</v>
      </c>
      <c r="M30" s="7">
        <v>58398.8296663</v>
      </c>
      <c r="N30" s="7">
        <v>71885.66433613305</v>
      </c>
      <c r="O30" s="7">
        <v>12335.509561696628</v>
      </c>
      <c r="P30" s="7">
        <v>13509.326932502279</v>
      </c>
      <c r="Q30" s="7">
        <v>13015.16149657986</v>
      </c>
      <c r="R30" s="7">
        <v>14066.320153618335</v>
      </c>
      <c r="S30" s="7">
        <v>13850.984711258623</v>
      </c>
      <c r="T30" s="121">
        <v>13436.897579064636</v>
      </c>
      <c r="U30" s="7">
        <v>7143.5120511610357</v>
      </c>
      <c r="V30" s="7">
        <v>7411.0098926721548</v>
      </c>
      <c r="W30" s="7">
        <v>7482.5701198581646</v>
      </c>
      <c r="X30" s="7">
        <v>7573.4914748861083</v>
      </c>
      <c r="Y30" s="5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3">
      <c r="A31" s="43" t="str">
        <f>HLOOKUP(Chosen,[0]!BS_Cons, Hide!A92, FALSE)</f>
        <v>Zobowiązania z tytułu dostaw i usług oraz pozostałe</v>
      </c>
      <c r="B31" s="7">
        <v>4476</v>
      </c>
      <c r="C31" s="7">
        <v>8329</v>
      </c>
      <c r="D31" s="7">
        <v>4458</v>
      </c>
      <c r="E31" s="7">
        <v>61752</v>
      </c>
      <c r="F31" s="7">
        <v>17081</v>
      </c>
      <c r="G31" s="7">
        <v>16266</v>
      </c>
      <c r="H31" s="7">
        <v>13326.488470398001</v>
      </c>
      <c r="I31" s="7">
        <v>7522</v>
      </c>
      <c r="J31" s="7">
        <v>6772</v>
      </c>
      <c r="K31" s="7">
        <v>16045.164867600004</v>
      </c>
      <c r="L31" s="7">
        <v>9333.7998479079997</v>
      </c>
      <c r="M31" s="7">
        <v>10717.473219618856</v>
      </c>
      <c r="N31" s="7">
        <v>11218.370847350378</v>
      </c>
      <c r="O31" s="7">
        <v>8533.4610375090597</v>
      </c>
      <c r="P31" s="7">
        <v>9590.0987655409681</v>
      </c>
      <c r="Q31" s="7">
        <v>9443.647719045679</v>
      </c>
      <c r="R31" s="7">
        <v>12740.777177466556</v>
      </c>
      <c r="S31" s="7">
        <v>12603.779553950131</v>
      </c>
      <c r="T31" s="121">
        <v>13323.641942163546</v>
      </c>
      <c r="U31" s="7">
        <v>13588.407318297301</v>
      </c>
      <c r="V31" s="7">
        <v>16318.576491084768</v>
      </c>
      <c r="W31" s="7">
        <v>15968.047536541679</v>
      </c>
      <c r="X31" s="7">
        <v>18048.370156801411</v>
      </c>
      <c r="Y31" s="5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3">
      <c r="A32" s="43" t="str">
        <f>HLOOKUP(Chosen,[0]!BS_Cons, Hide!A93, FALSE)</f>
        <v>Zobowiązania z tytułu podatku dochodowego</v>
      </c>
      <c r="B32" s="7">
        <v>0</v>
      </c>
      <c r="C32" s="7">
        <v>606</v>
      </c>
      <c r="D32" s="7">
        <v>333</v>
      </c>
      <c r="E32" s="7">
        <v>441</v>
      </c>
      <c r="F32" s="7">
        <v>104</v>
      </c>
      <c r="G32" s="7">
        <v>778</v>
      </c>
      <c r="H32" s="7">
        <v>1127.3342261999999</v>
      </c>
      <c r="I32" s="7">
        <v>311</v>
      </c>
      <c r="J32" s="7">
        <v>443</v>
      </c>
      <c r="K32" s="7">
        <v>24.616800000000001</v>
      </c>
      <c r="L32" s="7">
        <v>37.268555999999997</v>
      </c>
      <c r="M32" s="7">
        <v>263.90609389999997</v>
      </c>
      <c r="N32" s="7">
        <v>287.06468769200001</v>
      </c>
      <c r="O32" s="7">
        <v>158.72431521685795</v>
      </c>
      <c r="P32" s="7">
        <v>251.51524393143001</v>
      </c>
      <c r="Q32" s="7">
        <v>54.287800319999995</v>
      </c>
      <c r="R32" s="7">
        <v>23.578202321719999</v>
      </c>
      <c r="S32" s="7">
        <v>29.291623610706996</v>
      </c>
      <c r="T32" s="121">
        <v>41.206523460850001</v>
      </c>
      <c r="U32" s="7">
        <v>40.160126956399999</v>
      </c>
      <c r="V32" s="7">
        <v>33.932217110220002</v>
      </c>
      <c r="W32" s="7">
        <v>89.294991109419996</v>
      </c>
      <c r="X32" s="7">
        <v>100.35951235178999</v>
      </c>
      <c r="Y32" s="5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8" s="6" customFormat="1" x14ac:dyDescent="0.3">
      <c r="A33" s="43" t="str">
        <f>HLOOKUP(Chosen,[0]!BS_Cons, Hide!A94, FALSE)</f>
        <v>Rozliczenia międzyokresowe</v>
      </c>
      <c r="B33" s="7">
        <v>6080</v>
      </c>
      <c r="C33" s="7">
        <v>2680</v>
      </c>
      <c r="D33" s="7">
        <v>1787</v>
      </c>
      <c r="E33" s="7">
        <v>509</v>
      </c>
      <c r="F33" s="7">
        <v>1997</v>
      </c>
      <c r="G33" s="7">
        <v>800</v>
      </c>
      <c r="H33" s="7">
        <v>757.31242000000009</v>
      </c>
      <c r="I33" s="7">
        <v>1306</v>
      </c>
      <c r="J33" s="7">
        <v>1515</v>
      </c>
      <c r="K33" s="7">
        <v>1173.0211795200003</v>
      </c>
      <c r="L33" s="7">
        <v>1799.505028954</v>
      </c>
      <c r="M33" s="7">
        <v>2572.3680441609999</v>
      </c>
      <c r="N33" s="7">
        <v>2222.4840604250003</v>
      </c>
      <c r="O33" s="7">
        <v>2919.3426567759998</v>
      </c>
      <c r="P33" s="7">
        <v>2319.9619899999998</v>
      </c>
      <c r="Q33" s="7">
        <v>2338.5129869410016</v>
      </c>
      <c r="R33" s="7">
        <v>2789.4020214540001</v>
      </c>
      <c r="S33" s="7">
        <v>13857.310775542002</v>
      </c>
      <c r="T33" s="121">
        <v>10106.547851430001</v>
      </c>
      <c r="U33" s="7">
        <v>13446.103108768</v>
      </c>
      <c r="V33" s="7">
        <v>14455.242661132002</v>
      </c>
      <c r="W33" s="7">
        <v>12271.159669394998</v>
      </c>
      <c r="X33" s="7">
        <v>12454.546657250003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8" s="6" customFormat="1" x14ac:dyDescent="0.3">
      <c r="A34" s="44" t="str">
        <f>HLOOKUP(Chosen,[0]!BS_Cons, Hide!A95, FALSE)</f>
        <v>Zobowiązania krótkoterminowe</v>
      </c>
      <c r="B34" s="8">
        <v>67328</v>
      </c>
      <c r="C34" s="8">
        <v>21480.999999999989</v>
      </c>
      <c r="D34" s="8">
        <v>17490</v>
      </c>
      <c r="E34" s="8">
        <v>73282</v>
      </c>
      <c r="F34" s="8">
        <v>37302</v>
      </c>
      <c r="G34" s="8">
        <v>28338</v>
      </c>
      <c r="H34" s="8">
        <v>24512.307078008005</v>
      </c>
      <c r="I34" s="8">
        <v>17899</v>
      </c>
      <c r="J34" s="8">
        <v>16552</v>
      </c>
      <c r="K34" s="8">
        <v>75230.474078319996</v>
      </c>
      <c r="L34" s="8">
        <v>69982.702034638467</v>
      </c>
      <c r="M34" s="8">
        <v>72063.455798979863</v>
      </c>
      <c r="N34" s="8">
        <v>85728.214441600445</v>
      </c>
      <c r="O34" s="8">
        <v>33534.686345484261</v>
      </c>
      <c r="P34" s="8">
        <v>35302.020890436223</v>
      </c>
      <c r="Q34" s="8">
        <v>27908.948455172253</v>
      </c>
      <c r="R34" s="8">
        <v>32720.089163951521</v>
      </c>
      <c r="S34" s="8">
        <v>44441.034578361461</v>
      </c>
      <c r="T34" s="120">
        <v>42041.562668341256</v>
      </c>
      <c r="U34" s="120">
        <v>37146.472435182739</v>
      </c>
      <c r="V34" s="120">
        <v>49696.243121999141</v>
      </c>
      <c r="W34" s="120">
        <v>48454.239026904259</v>
      </c>
      <c r="X34" s="120">
        <v>48681.288871289304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8" s="6" customFormat="1" x14ac:dyDescent="0.3">
      <c r="A35" s="44" t="str">
        <f>HLOOKUP(Chosen,[0]!BS_Cons, Hide!A96, FALSE)</f>
        <v>Zobowiązania razem</v>
      </c>
      <c r="B35" s="8">
        <v>91832</v>
      </c>
      <c r="C35" s="8">
        <v>98860.999999999985</v>
      </c>
      <c r="D35" s="8">
        <v>93661</v>
      </c>
      <c r="E35" s="8">
        <v>154945</v>
      </c>
      <c r="F35" s="8">
        <v>107125</v>
      </c>
      <c r="G35" s="8">
        <v>97056</v>
      </c>
      <c r="H35" s="8">
        <v>93280.172106748621</v>
      </c>
      <c r="I35" s="8">
        <v>85548</v>
      </c>
      <c r="J35" s="8">
        <v>77579</v>
      </c>
      <c r="K35" s="8">
        <v>87856.130101785791</v>
      </c>
      <c r="L35" s="8">
        <v>82717.193098995296</v>
      </c>
      <c r="M35" s="8">
        <v>85319.976077549276</v>
      </c>
      <c r="N35" s="8">
        <v>111540.80790425566</v>
      </c>
      <c r="O35" s="8">
        <v>65969.665829443446</v>
      </c>
      <c r="P35" s="8">
        <v>64480.451752999754</v>
      </c>
      <c r="Q35" s="8">
        <v>58540.042235086876</v>
      </c>
      <c r="R35" s="8">
        <v>64745.75740625753</v>
      </c>
      <c r="S35" s="8">
        <v>85443.573891110122</v>
      </c>
      <c r="T35" s="120">
        <v>83631.726271116408</v>
      </c>
      <c r="U35" s="120">
        <v>76038.978464736487</v>
      </c>
      <c r="V35" s="120">
        <v>97986.059178644908</v>
      </c>
      <c r="W35" s="120">
        <v>81721.495491648791</v>
      </c>
      <c r="X35" s="120">
        <f>82463.6110536921-1</f>
        <v>82462.611053692104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8" s="18" customFormat="1" x14ac:dyDescent="0.3">
      <c r="A36" s="45" t="str">
        <f>HLOOKUP(Chosen,[0]!BS_Cons, Hide!A97, FALSE)</f>
        <v>PASYWA RAZEM</v>
      </c>
      <c r="B36" s="17">
        <v>225521</v>
      </c>
      <c r="C36" s="17">
        <v>232635</v>
      </c>
      <c r="D36" s="17">
        <v>235357</v>
      </c>
      <c r="E36" s="17">
        <v>369891</v>
      </c>
      <c r="F36" s="17">
        <v>313797</v>
      </c>
      <c r="G36" s="17">
        <v>297058</v>
      </c>
      <c r="H36" s="17">
        <v>301563.2611266523</v>
      </c>
      <c r="I36" s="17">
        <v>289281</v>
      </c>
      <c r="J36" s="17">
        <v>282431</v>
      </c>
      <c r="K36" s="17">
        <v>309673.52064515074</v>
      </c>
      <c r="L36" s="17">
        <v>303826.58951085119</v>
      </c>
      <c r="M36" s="17">
        <v>316081.59173076553</v>
      </c>
      <c r="N36" s="17">
        <v>351678.51241577923</v>
      </c>
      <c r="O36" s="17">
        <v>292960.17374925473</v>
      </c>
      <c r="P36" s="17">
        <v>303724.39960918576</v>
      </c>
      <c r="Q36" s="17">
        <v>283261.97747888742</v>
      </c>
      <c r="R36" s="17">
        <v>299205.35155821277</v>
      </c>
      <c r="S36" s="17">
        <v>320531.22484645038</v>
      </c>
      <c r="T36" s="122">
        <v>305737.11771713808</v>
      </c>
      <c r="U36" s="122">
        <v>283403.72319455427</v>
      </c>
      <c r="V36" s="122">
        <v>311818.18376916309</v>
      </c>
      <c r="W36" s="122">
        <v>287877.87870708329</v>
      </c>
      <c r="X36" s="122">
        <v>293857.45311675605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8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x14ac:dyDescent="0.3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/>
  </sheetPr>
  <dimension ref="A1:BD62"/>
  <sheetViews>
    <sheetView showGridLines="0" zoomScale="70" zoomScaleNormal="70" workbookViewId="0">
      <pane xSplit="1" ySplit="2" topLeftCell="F3" activePane="bottomRight" state="frozen"/>
      <selection activeCell="A17" sqref="A17"/>
      <selection pane="topRight" activeCell="A17" sqref="A17"/>
      <selection pane="bottomLeft" activeCell="A17" sqref="A17"/>
      <selection pane="bottomRight" activeCell="AL29" sqref="AL29"/>
    </sheetView>
  </sheetViews>
  <sheetFormatPr defaultColWidth="9.33203125" defaultRowHeight="14.4" outlineLevelCol="2" x14ac:dyDescent="0.3"/>
  <cols>
    <col min="1" max="1" width="50.5546875" style="2" customWidth="1"/>
    <col min="2" max="5" width="11.44140625" style="2" hidden="1" customWidth="1" outlineLevel="1"/>
    <col min="6" max="6" width="11.44140625" style="2" customWidth="1" collapsed="1"/>
    <col min="7" max="7" width="2.5546875" style="2" customWidth="1"/>
    <col min="8" max="11" width="11.44140625" style="2" hidden="1" customWidth="1" outlineLevel="1"/>
    <col min="12" max="12" width="11.44140625" style="2" customWidth="1" collapsed="1"/>
    <col min="13" max="13" width="2.5546875" style="2" customWidth="1"/>
    <col min="14" max="17" width="11.44140625" style="2" hidden="1" customWidth="1" outlineLevel="1"/>
    <col min="18" max="18" width="11.44140625" style="2" customWidth="1" collapsed="1"/>
    <col min="19" max="19" width="3.44140625" style="2" customWidth="1"/>
    <col min="20" max="23" width="9.33203125" style="2" customWidth="1" outlineLevel="1"/>
    <col min="24" max="24" width="9.33203125" style="2" customWidth="1"/>
    <col min="25" max="25" width="3.44140625" style="2" customWidth="1"/>
    <col min="26" max="27" width="9.44140625" style="2" customWidth="1" outlineLevel="2"/>
    <col min="28" max="29" width="9.33203125" style="2" customWidth="1" outlineLevel="2"/>
    <col min="30" max="30" width="9.33203125" style="2"/>
    <col min="31" max="31" width="4.44140625" style="2" customWidth="1"/>
    <col min="32" max="32" width="11.44140625" style="2" customWidth="1"/>
    <col min="33" max="36" width="9.33203125" style="2"/>
    <col min="37" max="38" width="15.33203125" style="2" customWidth="1"/>
    <col min="39" max="40" width="14.5546875" style="2" customWidth="1"/>
    <col min="41" max="44" width="9.33203125" style="2"/>
    <col min="45" max="45" width="10" style="2" bestFit="1" customWidth="1"/>
    <col min="46" max="46" width="10" style="2" customWidth="1"/>
    <col min="47" max="49" width="9.33203125" style="2"/>
    <col min="50" max="50" width="10.44140625" style="2" bestFit="1" customWidth="1"/>
    <col min="51" max="53" width="9.33203125" style="2"/>
    <col min="54" max="54" width="10.44140625" style="2" bestFit="1" customWidth="1"/>
    <col min="55" max="16384" width="9.33203125" style="2"/>
  </cols>
  <sheetData>
    <row r="1" spans="1:56" x14ac:dyDescent="0.3">
      <c r="A1" s="76" t="str">
        <f>HLOOKUP(Chosen,Hide!$A$9:$C$11, 2, FALSE)</f>
        <v>SPIS TREŚCI</v>
      </c>
      <c r="Z1"/>
      <c r="AA1"/>
      <c r="AB1"/>
      <c r="AC1"/>
      <c r="AD1"/>
      <c r="AE1"/>
      <c r="AF1"/>
      <c r="AG1"/>
      <c r="AH1"/>
      <c r="AK1"/>
      <c r="AL1"/>
      <c r="AM1"/>
      <c r="AN1"/>
      <c r="AO1"/>
      <c r="AP1"/>
      <c r="AQ1"/>
      <c r="AR1"/>
      <c r="AS1"/>
      <c r="AT1"/>
      <c r="AU1"/>
      <c r="AV1"/>
    </row>
    <row r="2" spans="1:56" s="32" customFormat="1" x14ac:dyDescent="0.3">
      <c r="A2" s="90" t="str">
        <f>HLOOKUP(Chosen,Hide!$A$64:$C$99, 36, FALSE)</f>
        <v>tys. PLN</v>
      </c>
      <c r="B2" s="33" t="s">
        <v>11</v>
      </c>
      <c r="C2" s="33" t="s">
        <v>12</v>
      </c>
      <c r="D2" s="33" t="s">
        <v>13</v>
      </c>
      <c r="E2" s="33" t="s">
        <v>14</v>
      </c>
      <c r="F2" s="57">
        <v>2016</v>
      </c>
      <c r="H2" s="33" t="s">
        <v>15</v>
      </c>
      <c r="I2" s="33" t="s">
        <v>112</v>
      </c>
      <c r="J2" s="33" t="s">
        <v>322</v>
      </c>
      <c r="K2" s="33" t="s">
        <v>325</v>
      </c>
      <c r="L2" s="57">
        <v>2017</v>
      </c>
      <c r="N2" s="33" t="s">
        <v>328</v>
      </c>
      <c r="O2" s="33" t="s">
        <v>340</v>
      </c>
      <c r="P2" s="33" t="s">
        <v>347</v>
      </c>
      <c r="Q2" s="33" t="s">
        <v>357</v>
      </c>
      <c r="R2" s="57">
        <v>2018</v>
      </c>
      <c r="T2" s="33" t="s">
        <v>361</v>
      </c>
      <c r="U2" s="33" t="s">
        <v>362</v>
      </c>
      <c r="V2" s="33" t="s">
        <v>363</v>
      </c>
      <c r="W2" s="33" t="s">
        <v>364</v>
      </c>
      <c r="X2" s="57">
        <v>2019</v>
      </c>
      <c r="Z2" s="33" t="s">
        <v>386</v>
      </c>
      <c r="AA2" s="33" t="s">
        <v>391</v>
      </c>
      <c r="AB2" s="33" t="s">
        <v>401</v>
      </c>
      <c r="AC2" s="33" t="s">
        <v>403</v>
      </c>
      <c r="AD2" s="57">
        <v>2020</v>
      </c>
      <c r="AF2" s="33" t="s">
        <v>409</v>
      </c>
      <c r="AG2" s="33" t="s">
        <v>414</v>
      </c>
      <c r="AH2" s="33" t="s">
        <v>413</v>
      </c>
      <c r="AM2" s="163"/>
      <c r="AN2" s="163"/>
    </row>
    <row r="3" spans="1:56" s="6" customFormat="1" x14ac:dyDescent="0.3">
      <c r="A3" s="36" t="str">
        <f>HLOOKUP(Chosen,Hide!$A$25:$C$48, 2, FALSE)</f>
        <v>Przychody ze sprzedaży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H3" s="5">
        <v>41446</v>
      </c>
      <c r="I3" s="5">
        <v>61096</v>
      </c>
      <c r="J3" s="5">
        <v>50301.642700278637</v>
      </c>
      <c r="K3" s="5">
        <v>50510.357299721363</v>
      </c>
      <c r="L3" s="5">
        <v>203354</v>
      </c>
      <c r="N3" s="5">
        <v>44491</v>
      </c>
      <c r="O3" s="5">
        <v>49217.978565065241</v>
      </c>
      <c r="P3" s="5">
        <v>48770.134955807749</v>
      </c>
      <c r="Q3" s="5">
        <v>56924.64885271556</v>
      </c>
      <c r="R3" s="5">
        <v>199403.76237358857</v>
      </c>
      <c r="T3" s="5">
        <v>48696.140405213664</v>
      </c>
      <c r="U3" s="5">
        <v>45401.381598635853</v>
      </c>
      <c r="V3" s="5">
        <v>42156.387194993134</v>
      </c>
      <c r="W3" s="5">
        <v>37616.336098572094</v>
      </c>
      <c r="X3" s="5">
        <v>173870.24529741475</v>
      </c>
      <c r="Z3" s="5">
        <v>36072.278769558361</v>
      </c>
      <c r="AA3" s="5">
        <v>23097.570443539225</v>
      </c>
      <c r="AB3" s="5">
        <v>25087.646554615269</v>
      </c>
      <c r="AC3" s="5">
        <v>27476.625687204658</v>
      </c>
      <c r="AD3" s="5">
        <v>111734.12145491752</v>
      </c>
      <c r="AE3"/>
      <c r="AF3" s="5">
        <v>31366.052315031095</v>
      </c>
      <c r="AG3" s="5">
        <v>27666.231703922345</v>
      </c>
      <c r="AH3" s="5">
        <v>30594.328538699752</v>
      </c>
      <c r="AJ3"/>
      <c r="AK3"/>
      <c r="AL3"/>
      <c r="AM3"/>
      <c r="AN3"/>
      <c r="AO3"/>
      <c r="AP3"/>
      <c r="AQ3"/>
      <c r="AR3"/>
      <c r="AS3"/>
      <c r="AT3"/>
      <c r="AU3"/>
      <c r="AX3"/>
      <c r="AY3"/>
      <c r="AZ3"/>
      <c r="BA3"/>
      <c r="BB3"/>
      <c r="BC3"/>
      <c r="BD3"/>
    </row>
    <row r="4" spans="1:56" x14ac:dyDescent="0.3">
      <c r="A4" s="37" t="str">
        <f>HLOOKUP(Chosen,Hide!$A$25:$C$48, 3, FALSE)</f>
        <v>Zużycie surowców i materiałów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H4" s="7">
        <v>-1805</v>
      </c>
      <c r="I4" s="7">
        <v>-1066</v>
      </c>
      <c r="J4" s="7">
        <v>-1482.2657028168105</v>
      </c>
      <c r="K4" s="7">
        <v>-1896.7342971831895</v>
      </c>
      <c r="L4" s="7">
        <v>-6250</v>
      </c>
      <c r="N4" s="7">
        <v>-1873</v>
      </c>
      <c r="O4" s="7">
        <v>-2025.5809705046768</v>
      </c>
      <c r="P4" s="7">
        <v>-2435.2573391343617</v>
      </c>
      <c r="Q4" s="7">
        <v>-2751.2831227589832</v>
      </c>
      <c r="R4" s="7">
        <v>-9085.1214323980221</v>
      </c>
      <c r="T4" s="7">
        <v>-3056.3277239843478</v>
      </c>
      <c r="U4" s="7">
        <v>-1529.8164489208143</v>
      </c>
      <c r="V4" s="7">
        <v>-1898.92613679843</v>
      </c>
      <c r="W4" s="7">
        <v>-1818.2180907064567</v>
      </c>
      <c r="X4" s="7">
        <v>-8303.2884004100488</v>
      </c>
      <c r="Z4" s="7">
        <v>-3154.299896479275</v>
      </c>
      <c r="AA4" s="7">
        <v>-1178.5361141542646</v>
      </c>
      <c r="AB4" s="7">
        <v>-2109.0390015438197</v>
      </c>
      <c r="AC4" s="7">
        <v>-2100.3762233436373</v>
      </c>
      <c r="AD4" s="7">
        <v>-8542.2512355209965</v>
      </c>
      <c r="AE4"/>
      <c r="AF4" s="7">
        <v>-2477.9357259617841</v>
      </c>
      <c r="AG4" s="7">
        <v>-2279.3931864486744</v>
      </c>
      <c r="AH4" s="7">
        <v>-1185.5726952548714</v>
      </c>
      <c r="AJ4"/>
      <c r="AK4"/>
      <c r="AL4"/>
      <c r="AM4"/>
      <c r="AN4"/>
      <c r="AO4"/>
      <c r="AP4"/>
      <c r="AQ4"/>
      <c r="AR4"/>
      <c r="AS4"/>
      <c r="AT4"/>
      <c r="AU4"/>
      <c r="AX4"/>
      <c r="AY4"/>
      <c r="AZ4"/>
      <c r="BA4"/>
      <c r="BB4"/>
      <c r="BC4"/>
      <c r="BD4"/>
    </row>
    <row r="5" spans="1:56" x14ac:dyDescent="0.3">
      <c r="A5" s="37" t="str">
        <f>HLOOKUP(Chosen,Hide!$A$25:$C$48, 4, FALSE)</f>
        <v>Świadczenia pracownicze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H5" s="7">
        <v>-26329</v>
      </c>
      <c r="I5" s="7">
        <v>-28383</v>
      </c>
      <c r="J5" s="7">
        <v>-24387.873363946528</v>
      </c>
      <c r="K5" s="7">
        <v>-27481.126636053465</v>
      </c>
      <c r="L5" s="7">
        <v>-106581</v>
      </c>
      <c r="N5" s="7">
        <v>-24906</v>
      </c>
      <c r="O5" s="7">
        <v>-28382.905654708215</v>
      </c>
      <c r="P5" s="7">
        <v>-29178.9052671678</v>
      </c>
      <c r="Q5" s="7">
        <v>-28080.928723530364</v>
      </c>
      <c r="R5" s="7">
        <v>-110548.73964540639</v>
      </c>
      <c r="T5" s="7">
        <v>-24817.396625988666</v>
      </c>
      <c r="U5" s="7">
        <v>-24985.319657711669</v>
      </c>
      <c r="V5" s="7">
        <v>-27243.210525986338</v>
      </c>
      <c r="W5" s="7">
        <v>-25057.052155725993</v>
      </c>
      <c r="X5" s="7">
        <v>-102102.97896541267</v>
      </c>
      <c r="Z5" s="7">
        <v>-27250.636163878338</v>
      </c>
      <c r="AA5" s="7">
        <v>-19972.203648071667</v>
      </c>
      <c r="AB5" s="7">
        <v>-21398.466899303545</v>
      </c>
      <c r="AC5" s="7">
        <v>-22522.969946084533</v>
      </c>
      <c r="AD5" s="7">
        <v>-91144.27665733808</v>
      </c>
      <c r="AE5"/>
      <c r="AF5" s="7">
        <v>-20652.891395749335</v>
      </c>
      <c r="AG5" s="7">
        <v>-21333.005941722666</v>
      </c>
      <c r="AH5" s="7">
        <v>-20889.337929090441</v>
      </c>
      <c r="AJ5"/>
      <c r="AK5"/>
      <c r="AL5"/>
      <c r="AM5"/>
      <c r="AN5"/>
      <c r="AO5"/>
      <c r="AP5"/>
      <c r="AQ5"/>
      <c r="AR5"/>
      <c r="AS5"/>
      <c r="AT5"/>
      <c r="AU5"/>
      <c r="AW5" s="162"/>
      <c r="AX5"/>
      <c r="AY5"/>
      <c r="AZ5"/>
      <c r="BA5"/>
      <c r="BB5"/>
      <c r="BC5"/>
      <c r="BD5"/>
    </row>
    <row r="6" spans="1:56" x14ac:dyDescent="0.3">
      <c r="A6" s="37" t="str">
        <f>HLOOKUP(Chosen,Hide!$A$25:$C$48, 5, FALSE)</f>
        <v>Amortyzacja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H6" s="7">
        <v>-3426</v>
      </c>
      <c r="I6" s="7">
        <v>-3213</v>
      </c>
      <c r="J6" s="7">
        <v>-2996.5952514037508</v>
      </c>
      <c r="K6" s="7">
        <v>-2834.4047485962492</v>
      </c>
      <c r="L6" s="7">
        <v>-12470</v>
      </c>
      <c r="N6" s="7">
        <v>-2650</v>
      </c>
      <c r="O6" s="7">
        <v>-2839.2580760160126</v>
      </c>
      <c r="P6" s="7">
        <v>-2908.4944435045577</v>
      </c>
      <c r="Q6" s="7">
        <v>-3181.8607421604302</v>
      </c>
      <c r="R6" s="7">
        <v>-11578.613261681001</v>
      </c>
      <c r="T6" s="7">
        <v>-4186.6416856628584</v>
      </c>
      <c r="U6" s="7">
        <v>-4413.2404505449667</v>
      </c>
      <c r="V6" s="7">
        <v>-5149.2360545312786</v>
      </c>
      <c r="W6" s="7">
        <v>-4967.819468672802</v>
      </c>
      <c r="X6" s="7">
        <v>-18716.937659411906</v>
      </c>
      <c r="Z6" s="7">
        <v>-4048.6263863597919</v>
      </c>
      <c r="AA6" s="7">
        <v>-4049.5036222931781</v>
      </c>
      <c r="AB6" s="7">
        <v>-3801.5140747836726</v>
      </c>
      <c r="AC6" s="7">
        <v>-3996.3016066895057</v>
      </c>
      <c r="AD6" s="7">
        <v>-15895.945690126147</v>
      </c>
      <c r="AE6"/>
      <c r="AF6" s="7">
        <v>-4247.3622282034639</v>
      </c>
      <c r="AG6" s="7">
        <v>-4153.534414622196</v>
      </c>
      <c r="AH6" s="7">
        <v>-4383.3238567973331</v>
      </c>
      <c r="AJ6"/>
      <c r="AK6"/>
      <c r="AL6"/>
      <c r="AM6"/>
      <c r="AN6"/>
      <c r="AO6"/>
      <c r="AP6"/>
      <c r="AQ6"/>
      <c r="AR6"/>
      <c r="AS6"/>
      <c r="AT6"/>
      <c r="AU6"/>
      <c r="AX6"/>
      <c r="AY6"/>
      <c r="AZ6"/>
      <c r="BA6"/>
      <c r="BB6"/>
      <c r="BC6"/>
      <c r="BD6"/>
    </row>
    <row r="7" spans="1:56" x14ac:dyDescent="0.3">
      <c r="A7" s="37" t="str">
        <f>HLOOKUP(Chosen,Hide!$A$25:$C$48, 6, FALSE)</f>
        <v>Usługi obce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H7" s="7">
        <v>-7630</v>
      </c>
      <c r="I7" s="7">
        <v>-9482</v>
      </c>
      <c r="J7" s="7">
        <v>-6952.2834938310625</v>
      </c>
      <c r="K7" s="7">
        <v>-6346.7165061689375</v>
      </c>
      <c r="L7" s="7">
        <v>-30411</v>
      </c>
      <c r="N7" s="7">
        <v>-6682</v>
      </c>
      <c r="O7" s="7">
        <v>-8174.6528364430096</v>
      </c>
      <c r="P7" s="7">
        <v>-9365.4669748449924</v>
      </c>
      <c r="Q7" s="7">
        <v>-9608.8950951285879</v>
      </c>
      <c r="R7" s="7">
        <v>-33831.014906416589</v>
      </c>
      <c r="T7" s="7">
        <v>-9081.6973740690337</v>
      </c>
      <c r="U7" s="7">
        <v>-10755.646042721695</v>
      </c>
      <c r="V7" s="7">
        <v>-8431.865167202086</v>
      </c>
      <c r="W7" s="7">
        <v>-9379.0403052843649</v>
      </c>
      <c r="X7" s="7">
        <v>-37648.24888927718</v>
      </c>
      <c r="Z7" s="7">
        <v>-8733.0905929930086</v>
      </c>
      <c r="AA7" s="7">
        <v>-7558.3035225673084</v>
      </c>
      <c r="AB7" s="7">
        <v>-7299.3167874216706</v>
      </c>
      <c r="AC7" s="7">
        <v>-7038.3254361865511</v>
      </c>
      <c r="AD7" s="7">
        <v>-30629.036339168539</v>
      </c>
      <c r="AE7"/>
      <c r="AF7" s="7">
        <v>-8127.3909001976253</v>
      </c>
      <c r="AG7" s="7">
        <v>-8041.5644882114966</v>
      </c>
      <c r="AH7" s="7">
        <v>-8751.457987912243</v>
      </c>
      <c r="AJ7"/>
      <c r="AK7"/>
      <c r="AL7"/>
      <c r="AM7"/>
      <c r="AN7"/>
      <c r="AO7"/>
      <c r="AP7"/>
      <c r="AQ7"/>
      <c r="AR7"/>
      <c r="AS7"/>
      <c r="AT7"/>
      <c r="AU7"/>
      <c r="AX7"/>
      <c r="AY7"/>
      <c r="AZ7"/>
      <c r="BA7"/>
      <c r="BB7"/>
      <c r="BC7"/>
      <c r="BD7"/>
    </row>
    <row r="8" spans="1:56" x14ac:dyDescent="0.3">
      <c r="A8" s="38" t="str">
        <f>HLOOKUP(Chosen,Hide!$A$25:$C$48, 7, FALSE)</f>
        <v>Pozostałe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H8" s="7">
        <v>-1180</v>
      </c>
      <c r="I8" s="7">
        <v>-2468</v>
      </c>
      <c r="J8" s="7">
        <v>-582.5152758908348</v>
      </c>
      <c r="K8" s="7">
        <v>-1106.4847241091647</v>
      </c>
      <c r="L8" s="7">
        <v>-5337</v>
      </c>
      <c r="N8" s="7">
        <v>-1074</v>
      </c>
      <c r="O8" s="7">
        <v>-2249.4305086928398</v>
      </c>
      <c r="P8" s="7">
        <v>-1218.5106655151596</v>
      </c>
      <c r="Q8" s="7">
        <v>-1668.8409778357509</v>
      </c>
      <c r="R8" s="7">
        <v>-6210.7821520437501</v>
      </c>
      <c r="T8" s="7">
        <v>-1888.1250576832836</v>
      </c>
      <c r="U8" s="7">
        <v>-2249.3970182063531</v>
      </c>
      <c r="V8" s="7">
        <v>-1615.2308749293943</v>
      </c>
      <c r="W8" s="7">
        <v>-1683.7612226325391</v>
      </c>
      <c r="X8" s="7">
        <v>-7436.5141734515701</v>
      </c>
      <c r="Z8" s="7">
        <v>-1443.2625862402838</v>
      </c>
      <c r="AA8" s="7">
        <v>-659.41636300266418</v>
      </c>
      <c r="AB8" s="7">
        <v>-847.53547536952328</v>
      </c>
      <c r="AC8" s="7">
        <v>-917.6379449351175</v>
      </c>
      <c r="AD8" s="7">
        <v>-3867.8523695475888</v>
      </c>
      <c r="AE8"/>
      <c r="AF8" s="7">
        <v>-893.61044220037331</v>
      </c>
      <c r="AG8" s="7">
        <v>-1109.4912080119468</v>
      </c>
      <c r="AH8" s="7">
        <v>-1117.5067778555913</v>
      </c>
      <c r="AJ8"/>
      <c r="AK8"/>
      <c r="AL8"/>
      <c r="AM8"/>
      <c r="AN8"/>
      <c r="AO8"/>
      <c r="AP8"/>
      <c r="AQ8"/>
      <c r="AR8"/>
      <c r="AS8"/>
      <c r="AT8"/>
      <c r="AU8"/>
      <c r="AX8"/>
      <c r="AY8"/>
      <c r="AZ8"/>
      <c r="BA8"/>
      <c r="BB8"/>
      <c r="BC8"/>
      <c r="BD8"/>
    </row>
    <row r="9" spans="1:56" s="6" customFormat="1" x14ac:dyDescent="0.3">
      <c r="A9" s="39" t="str">
        <f>HLOOKUP(Chosen,Hide!$A$25:$C$48, 8, FALSE)</f>
        <v>Koszt własny razem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H9" s="8">
        <v>-40370</v>
      </c>
      <c r="I9" s="8">
        <v>-44612</v>
      </c>
      <c r="J9" s="8">
        <v>-36401.533087888987</v>
      </c>
      <c r="K9" s="8">
        <v>-39665.466912111006</v>
      </c>
      <c r="L9" s="8">
        <v>-161049</v>
      </c>
      <c r="N9" s="8">
        <v>-37185</v>
      </c>
      <c r="O9" s="8">
        <v>-43671.828046364753</v>
      </c>
      <c r="P9" s="8">
        <v>-45106.494690166874</v>
      </c>
      <c r="Q9" s="8">
        <v>-45292.248661414102</v>
      </c>
      <c r="R9" s="8">
        <v>-171254.57139794572</v>
      </c>
      <c r="T9" s="8">
        <v>-43030.188467388187</v>
      </c>
      <c r="U9" s="8">
        <v>-43933.419618105501</v>
      </c>
      <c r="V9" s="8">
        <v>-44338.328759447526</v>
      </c>
      <c r="W9" s="8">
        <v>-42906.331243022141</v>
      </c>
      <c r="X9" s="8">
        <v>-174208.26808796337</v>
      </c>
      <c r="Z9" s="8">
        <v>-44629.9156259507</v>
      </c>
      <c r="AA9" s="8">
        <v>-33417.96327008908</v>
      </c>
      <c r="AB9" s="8">
        <v>-35455.872238422227</v>
      </c>
      <c r="AC9" s="8">
        <v>-36575.611157239342</v>
      </c>
      <c r="AD9" s="8">
        <v>-150079.36229170134</v>
      </c>
      <c r="AE9"/>
      <c r="AF9" s="8">
        <v>-36399.190692312579</v>
      </c>
      <c r="AG9" s="8">
        <v>-36916.989239016977</v>
      </c>
      <c r="AH9" s="8">
        <v>-36327.189246910479</v>
      </c>
      <c r="AJ9"/>
      <c r="AK9"/>
      <c r="AL9"/>
      <c r="AM9"/>
      <c r="AN9"/>
      <c r="AO9"/>
      <c r="AP9"/>
      <c r="AQ9"/>
      <c r="AR9"/>
      <c r="AS9"/>
      <c r="AT9"/>
      <c r="AU9"/>
      <c r="AX9"/>
      <c r="AY9"/>
      <c r="AZ9"/>
      <c r="BA9"/>
      <c r="BB9"/>
      <c r="BC9"/>
      <c r="BD9"/>
    </row>
    <row r="10" spans="1:56" s="6" customFormat="1" x14ac:dyDescent="0.3">
      <c r="A10" s="36" t="str">
        <f>HLOOKUP(Chosen,Hide!$A$25:$C$48, 9, FALSE)</f>
        <v>Zysk/(strata) na sprzedaży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H10" s="8">
        <v>1076</v>
      </c>
      <c r="I10" s="8">
        <v>16484</v>
      </c>
      <c r="J10" s="8">
        <v>13900.10961238965</v>
      </c>
      <c r="K10" s="8">
        <v>10844.89038761035</v>
      </c>
      <c r="L10" s="8">
        <v>42305</v>
      </c>
      <c r="N10" s="8">
        <v>7306</v>
      </c>
      <c r="O10" s="8">
        <v>5546.1505187004877</v>
      </c>
      <c r="P10" s="8">
        <v>3663.6402656408754</v>
      </c>
      <c r="Q10" s="8">
        <v>11633.400191301487</v>
      </c>
      <c r="R10" s="8">
        <v>28149.19097564285</v>
      </c>
      <c r="T10" s="8">
        <v>5665.9519378254772</v>
      </c>
      <c r="U10" s="8">
        <v>1467.9619805303519</v>
      </c>
      <c r="V10" s="8">
        <v>-2181.9415644543915</v>
      </c>
      <c r="W10" s="8">
        <v>-5289.9951444500621</v>
      </c>
      <c r="X10" s="8">
        <v>-338.02279054862447</v>
      </c>
      <c r="Z10" s="8">
        <v>-8557.6368563923406</v>
      </c>
      <c r="AA10" s="8">
        <v>-10320.392826549854</v>
      </c>
      <c r="AB10" s="123">
        <v>-10368.225683806959</v>
      </c>
      <c r="AC10" s="123">
        <v>-9098.9854700346677</v>
      </c>
      <c r="AD10" s="123">
        <v>-38345.240836783822</v>
      </c>
      <c r="AE10"/>
      <c r="AF10" s="123">
        <v>-5033.1383772814843</v>
      </c>
      <c r="AG10" s="123">
        <v>-9250.7575350946317</v>
      </c>
      <c r="AH10" s="123">
        <v>-5732.8607082107264</v>
      </c>
      <c r="AJ10"/>
      <c r="AK10"/>
      <c r="AL10"/>
      <c r="AM10"/>
      <c r="AN10"/>
      <c r="AO10"/>
      <c r="AP10"/>
      <c r="AQ10"/>
      <c r="AR10"/>
      <c r="AS10"/>
      <c r="AT10"/>
      <c r="AU10"/>
      <c r="AX10"/>
      <c r="AY10"/>
      <c r="AZ10"/>
      <c r="BA10"/>
      <c r="BB10"/>
      <c r="BC10"/>
      <c r="BD10"/>
    </row>
    <row r="11" spans="1:56" x14ac:dyDescent="0.3">
      <c r="A11" s="40" t="str">
        <f>HLOOKUP(Chosen,Hide!$A$25:$C$48, 10, FALSE)</f>
        <v>Pozostałe przychody operacyjne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H11" s="7">
        <v>240</v>
      </c>
      <c r="I11" s="7">
        <v>141</v>
      </c>
      <c r="J11" s="7">
        <v>288.50560999999993</v>
      </c>
      <c r="K11" s="7">
        <v>78.494390000000067</v>
      </c>
      <c r="L11" s="7">
        <v>748</v>
      </c>
      <c r="N11" s="7">
        <v>87</v>
      </c>
      <c r="O11" s="7">
        <v>79.128119999999996</v>
      </c>
      <c r="P11" s="7">
        <v>88.789930000000027</v>
      </c>
      <c r="Q11" s="7">
        <v>93.406014531250008</v>
      </c>
      <c r="R11" s="7">
        <v>348.32406453125003</v>
      </c>
      <c r="T11" s="7">
        <v>662.84589968616967</v>
      </c>
      <c r="U11" s="7">
        <v>90.64364581908626</v>
      </c>
      <c r="V11" s="7">
        <v>89.515000809429168</v>
      </c>
      <c r="W11" s="7">
        <v>78.864289990416182</v>
      </c>
      <c r="X11" s="7">
        <v>921.86883630510124</v>
      </c>
      <c r="Z11" s="7">
        <v>0.68733135690000002</v>
      </c>
      <c r="AA11" s="7">
        <v>4215.4845682181913</v>
      </c>
      <c r="AB11" s="124">
        <v>-85.929716531838679</v>
      </c>
      <c r="AC11" s="124">
        <v>-30.604853213758911</v>
      </c>
      <c r="AD11" s="124">
        <v>4099.6373298294939</v>
      </c>
      <c r="AE11"/>
      <c r="AF11" s="124">
        <v>13.086137582613334</v>
      </c>
      <c r="AG11" s="124">
        <v>12139.087299362507</v>
      </c>
      <c r="AH11" s="124">
        <v>177.58458582610183</v>
      </c>
      <c r="AJ11"/>
      <c r="AK11"/>
      <c r="AL11"/>
      <c r="AM11"/>
      <c r="AN11"/>
      <c r="AO11"/>
      <c r="AP11"/>
      <c r="AQ11"/>
      <c r="AR11"/>
      <c r="AS11"/>
      <c r="AT11"/>
      <c r="AU11"/>
      <c r="AX11"/>
      <c r="AY11"/>
      <c r="AZ11"/>
      <c r="BA11"/>
      <c r="BB11"/>
      <c r="BC11"/>
      <c r="BD11"/>
    </row>
    <row r="12" spans="1:56" x14ac:dyDescent="0.3">
      <c r="A12" s="40" t="str">
        <f>HLOOKUP(Chosen,Hide!$A$25:$C$48, 11, FALSE)</f>
        <v>Pozostałe koszty operacyjne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H12" s="7">
        <v>-22</v>
      </c>
      <c r="I12" s="7">
        <v>-155</v>
      </c>
      <c r="J12" s="7">
        <v>-95.741747129222176</v>
      </c>
      <c r="K12" s="7">
        <v>-960.25825287077782</v>
      </c>
      <c r="L12" s="7">
        <v>-1233</v>
      </c>
      <c r="N12" s="7">
        <v>-320</v>
      </c>
      <c r="O12" s="7">
        <v>-1852.8948465401677</v>
      </c>
      <c r="P12" s="7">
        <v>-271.09847376383186</v>
      </c>
      <c r="Q12" s="7">
        <v>-1329.4801097605473</v>
      </c>
      <c r="R12" s="7">
        <v>-3773.4734300645468</v>
      </c>
      <c r="T12" s="7">
        <v>-70.147594764650009</v>
      </c>
      <c r="U12" s="7">
        <v>-203.01161973758997</v>
      </c>
      <c r="V12" s="7">
        <v>-245.52477595802219</v>
      </c>
      <c r="W12" s="7">
        <v>-150.47482649953292</v>
      </c>
      <c r="X12" s="7">
        <v>-669.1588169597951</v>
      </c>
      <c r="Z12" s="7">
        <v>-60.983196973333342</v>
      </c>
      <c r="AA12" s="7">
        <v>-35.222025067393325</v>
      </c>
      <c r="AB12" s="124">
        <v>-25.962455737566657</v>
      </c>
      <c r="AC12" s="124">
        <v>-3140.4025126972397</v>
      </c>
      <c r="AD12" s="124">
        <v>-3262.5701904755329</v>
      </c>
      <c r="AE12"/>
      <c r="AF12" s="124">
        <v>-73.90030389333333</v>
      </c>
      <c r="AG12" s="124">
        <v>-6414.0249874632082</v>
      </c>
      <c r="AH12" s="124">
        <v>-350.33277476557669</v>
      </c>
      <c r="AJ12"/>
      <c r="AK12"/>
      <c r="AL12"/>
      <c r="AM12"/>
      <c r="AN12"/>
      <c r="AO12"/>
      <c r="AP12"/>
      <c r="AQ12"/>
      <c r="AR12"/>
      <c r="AS12"/>
      <c r="AT12"/>
      <c r="AU12"/>
    </row>
    <row r="13" spans="1:56" x14ac:dyDescent="0.3">
      <c r="A13" s="39" t="str">
        <f>HLOOKUP(Chosen,Hide!$A$25:$C$48, 12, FALSE)</f>
        <v>Zysk/(strata) na działalności operacyjnej</v>
      </c>
      <c r="B13" s="8">
        <v>-6129</v>
      </c>
      <c r="C13" s="8">
        <v>12306</v>
      </c>
      <c r="D13" s="8">
        <v>8880</v>
      </c>
      <c r="E13" s="8">
        <v>31473</v>
      </c>
      <c r="F13" s="8">
        <v>46530</v>
      </c>
      <c r="H13" s="8">
        <v>1294</v>
      </c>
      <c r="I13" s="8">
        <v>16470</v>
      </c>
      <c r="J13" s="8">
        <v>14092.873475260427</v>
      </c>
      <c r="K13" s="8">
        <v>9963.1265247395713</v>
      </c>
      <c r="L13" s="8">
        <v>41820</v>
      </c>
      <c r="N13" s="8">
        <v>7073</v>
      </c>
      <c r="O13" s="8">
        <v>3772.3837921603204</v>
      </c>
      <c r="P13" s="8">
        <v>3481.5117218770433</v>
      </c>
      <c r="Q13" s="8">
        <v>10397.146096072191</v>
      </c>
      <c r="R13" s="8">
        <v>24724.041610109554</v>
      </c>
      <c r="T13" s="8">
        <v>6258.6502427469968</v>
      </c>
      <c r="U13" s="8">
        <v>1355.5940066118483</v>
      </c>
      <c r="V13" s="8">
        <v>-2337.7713396029844</v>
      </c>
      <c r="W13" s="8">
        <v>-5361.7856809591794</v>
      </c>
      <c r="X13" s="8">
        <v>-85.312771203318334</v>
      </c>
      <c r="Z13" s="8">
        <v>-8617.9327220087725</v>
      </c>
      <c r="AA13" s="8">
        <v>-6140.1302833990567</v>
      </c>
      <c r="AB13" s="123">
        <v>-10479.937856076363</v>
      </c>
      <c r="AC13" s="123">
        <v>-12270.172835945668</v>
      </c>
      <c r="AD13" s="123">
        <v>-37508.173697429862</v>
      </c>
      <c r="AE13"/>
      <c r="AF13" s="123">
        <v>-5093.9525435922042</v>
      </c>
      <c r="AG13" s="123">
        <v>-3525.6952231953328</v>
      </c>
      <c r="AH13" s="123">
        <v>-5904.9088971502006</v>
      </c>
      <c r="AJ13"/>
      <c r="AK13"/>
      <c r="AL13"/>
      <c r="AM13"/>
      <c r="AN13"/>
      <c r="AO13"/>
      <c r="AP13"/>
      <c r="AQ13"/>
      <c r="AR13"/>
      <c r="AS13"/>
      <c r="AT13"/>
      <c r="AU13"/>
    </row>
    <row r="14" spans="1:56" x14ac:dyDescent="0.3">
      <c r="A14" s="40" t="str">
        <f>HLOOKUP(Chosen,Hide!$A$25:$C$48, 13, FALSE)</f>
        <v>Przychody finansowe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H14" s="7">
        <v>520</v>
      </c>
      <c r="I14" s="7">
        <v>164</v>
      </c>
      <c r="J14" s="7">
        <v>-95.107125106167473</v>
      </c>
      <c r="K14" s="7">
        <v>25.107125106167473</v>
      </c>
      <c r="L14" s="7">
        <v>614</v>
      </c>
      <c r="N14" s="7">
        <v>204</v>
      </c>
      <c r="O14" s="7">
        <v>458.18672088433243</v>
      </c>
      <c r="P14" s="7">
        <v>-72.023013730321054</v>
      </c>
      <c r="Q14" s="7">
        <v>122.23688862149038</v>
      </c>
      <c r="R14" s="7">
        <v>712.40059577550176</v>
      </c>
      <c r="T14" s="7">
        <v>153.18160869688307</v>
      </c>
      <c r="U14" s="7">
        <v>-86.210407402003412</v>
      </c>
      <c r="V14" s="7">
        <v>-8.1990234748807254</v>
      </c>
      <c r="W14" s="7">
        <v>21.410639729700982</v>
      </c>
      <c r="X14" s="7">
        <v>80.182817549699919</v>
      </c>
      <c r="Z14" s="7">
        <v>849.33106809333344</v>
      </c>
      <c r="AA14" s="7">
        <v>-769.83016789966644</v>
      </c>
      <c r="AB14" s="124">
        <v>-552.40533744166737</v>
      </c>
      <c r="AC14" s="124">
        <v>651.95884399299962</v>
      </c>
      <c r="AD14" s="124">
        <v>179.05440674499934</v>
      </c>
      <c r="AE14"/>
      <c r="AF14" s="124">
        <v>2006.8272276333337</v>
      </c>
      <c r="AG14" s="124">
        <v>-1575.2387568333338</v>
      </c>
      <c r="AH14" s="124">
        <v>2091.3636309770191</v>
      </c>
      <c r="AJ14"/>
      <c r="AK14"/>
      <c r="AL14"/>
      <c r="AM14"/>
      <c r="AN14"/>
      <c r="AO14"/>
      <c r="AP14"/>
      <c r="AQ14"/>
      <c r="AR14"/>
      <c r="AS14"/>
      <c r="AT14"/>
      <c r="AU14"/>
    </row>
    <row r="15" spans="1:56" x14ac:dyDescent="0.3">
      <c r="A15" s="40" t="str">
        <f>HLOOKUP(Chosen,Hide!$A$25:$C$48, 14, FALSE)</f>
        <v>Koszty finansowe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H15" s="7">
        <v>-1805</v>
      </c>
      <c r="I15" s="7">
        <v>-1735</v>
      </c>
      <c r="J15" s="7">
        <v>-983.57741008827634</v>
      </c>
      <c r="K15" s="7">
        <v>-1318.4225899117237</v>
      </c>
      <c r="L15" s="7">
        <v>-5842</v>
      </c>
      <c r="N15" s="7">
        <v>-1041</v>
      </c>
      <c r="O15" s="7">
        <v>-749.09667958500222</v>
      </c>
      <c r="P15" s="7">
        <v>-941.64628564899886</v>
      </c>
      <c r="Q15" s="7">
        <v>-1130.7075402227499</v>
      </c>
      <c r="R15" s="7">
        <v>-3863.4505054567503</v>
      </c>
      <c r="T15" s="7">
        <v>-1012.5380608453077</v>
      </c>
      <c r="U15" s="7">
        <v>-857.50647565675979</v>
      </c>
      <c r="V15" s="7">
        <v>-139.42865706781618</v>
      </c>
      <c r="W15" s="7">
        <v>-640.27389983391754</v>
      </c>
      <c r="X15" s="7">
        <v>-2649.747093403801</v>
      </c>
      <c r="Z15" s="7">
        <v>-312.90622806893219</v>
      </c>
      <c r="AA15" s="7">
        <v>-266.93468284160343</v>
      </c>
      <c r="AB15" s="124">
        <v>-227.73663989882266</v>
      </c>
      <c r="AC15" s="124">
        <v>-1813.3730839896994</v>
      </c>
      <c r="AD15" s="124">
        <v>-2620.9506347990573</v>
      </c>
      <c r="AE15"/>
      <c r="AF15" s="124">
        <v>-207.03851305790093</v>
      </c>
      <c r="AG15" s="124">
        <v>-223.31596122519963</v>
      </c>
      <c r="AH15" s="124">
        <v>-236.50208808042203</v>
      </c>
      <c r="AJ15"/>
      <c r="AK15"/>
      <c r="AL15"/>
      <c r="AM15"/>
      <c r="AN15"/>
      <c r="AO15"/>
      <c r="AP15"/>
      <c r="AQ15"/>
      <c r="AR15"/>
      <c r="AS15"/>
      <c r="AT15"/>
      <c r="AU15"/>
    </row>
    <row r="16" spans="1:56" s="6" customFormat="1" x14ac:dyDescent="0.3">
      <c r="A16" s="36" t="str">
        <f>HLOOKUP(Chosen,Hide!$A$25:$C$48, 15, FALSE)</f>
        <v>Przychody/(koszty) finansowe netto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H16" s="8">
        <v>-1285</v>
      </c>
      <c r="I16" s="8">
        <v>-1571</v>
      </c>
      <c r="J16" s="8">
        <v>-1078.6845351944439</v>
      </c>
      <c r="K16" s="8">
        <v>-1293.3154648055561</v>
      </c>
      <c r="L16" s="8">
        <v>-5228</v>
      </c>
      <c r="N16" s="8">
        <v>-837</v>
      </c>
      <c r="O16" s="8">
        <v>-290.90995870066979</v>
      </c>
      <c r="P16" s="8">
        <v>-1013.6692993793199</v>
      </c>
      <c r="Q16" s="8">
        <v>-1009.4706516012589</v>
      </c>
      <c r="R16" s="8">
        <v>-3151.0499096812487</v>
      </c>
      <c r="T16" s="8">
        <v>-859.5064521484245</v>
      </c>
      <c r="U16" s="8">
        <v>-943.71688305876319</v>
      </c>
      <c r="V16" s="8">
        <v>-147.4776805426969</v>
      </c>
      <c r="W16" s="8">
        <v>-618.86326010421681</v>
      </c>
      <c r="X16" s="8">
        <v>-2569.5642758541012</v>
      </c>
      <c r="Z16" s="8">
        <v>536.27484002440121</v>
      </c>
      <c r="AA16" s="8">
        <v>-1036.7648507412698</v>
      </c>
      <c r="AB16" s="125">
        <v>-779.99197734049005</v>
      </c>
      <c r="AC16" s="125">
        <v>-1161.4142399966995</v>
      </c>
      <c r="AD16" s="125">
        <v>-2441.8962280540582</v>
      </c>
      <c r="AE16"/>
      <c r="AF16" s="125">
        <v>1799.6387145754327</v>
      </c>
      <c r="AG16" s="125">
        <v>-1798.3547180585333</v>
      </c>
      <c r="AH16" s="125">
        <v>1854.0615428965971</v>
      </c>
      <c r="AK16" s="7"/>
      <c r="AL16" s="7"/>
      <c r="AM16" s="7"/>
      <c r="AN16" s="7"/>
    </row>
    <row r="17" spans="1:40" x14ac:dyDescent="0.3">
      <c r="A17" s="36" t="str">
        <f>HLOOKUP(Chosen,Hide!$A$25:$C$48, 16, FALSE)</f>
        <v>Zysk/(strata) przed opodatkowaniem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H17" s="8">
        <v>9</v>
      </c>
      <c r="I17" s="8">
        <v>14899</v>
      </c>
      <c r="J17" s="8">
        <v>13014.188940065982</v>
      </c>
      <c r="K17" s="8">
        <v>8669.811059934018</v>
      </c>
      <c r="L17" s="8">
        <v>36592</v>
      </c>
      <c r="N17" s="8">
        <v>6236</v>
      </c>
      <c r="O17" s="8">
        <v>3481.4738334596505</v>
      </c>
      <c r="P17" s="8">
        <v>2467.8424224977234</v>
      </c>
      <c r="Q17" s="8">
        <v>9387.6754444709295</v>
      </c>
      <c r="R17" s="8">
        <v>21572.991700428305</v>
      </c>
      <c r="T17" s="8">
        <v>5399.1437905985722</v>
      </c>
      <c r="U17" s="8">
        <v>411.87712355308508</v>
      </c>
      <c r="V17" s="8">
        <v>-2485.2490201456812</v>
      </c>
      <c r="W17" s="8">
        <v>-5980.6489410633949</v>
      </c>
      <c r="X17" s="8">
        <v>-2654.8770470574195</v>
      </c>
      <c r="Z17" s="8">
        <v>-8081.6578819843717</v>
      </c>
      <c r="AA17" s="8">
        <v>-7176.8951341403263</v>
      </c>
      <c r="AB17" s="123">
        <v>-11259.929833416854</v>
      </c>
      <c r="AC17" s="123">
        <v>-13431.587075942367</v>
      </c>
      <c r="AD17" s="123">
        <v>-39950.06992548392</v>
      </c>
      <c r="AE17"/>
      <c r="AF17" s="123">
        <v>-3294.3138290167717</v>
      </c>
      <c r="AG17" s="123">
        <v>-5324.0499412538666</v>
      </c>
      <c r="AH17" s="123">
        <v>-4050.847354253603</v>
      </c>
      <c r="AK17" s="7"/>
      <c r="AL17" s="7"/>
      <c r="AM17" s="7"/>
      <c r="AN17" s="7"/>
    </row>
    <row r="18" spans="1:40" x14ac:dyDescent="0.3">
      <c r="A18" s="37" t="str">
        <f>HLOOKUP(Chosen,Hide!$A$25:$C$48, 17, FALSE)</f>
        <v>Podatek dochodowy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H18" s="9">
        <v>1036</v>
      </c>
      <c r="I18" s="9">
        <v>-2908</v>
      </c>
      <c r="J18" s="9">
        <v>-1748.9049633593138</v>
      </c>
      <c r="K18" s="9">
        <v>681.90496335931402</v>
      </c>
      <c r="L18" s="9">
        <v>-2939</v>
      </c>
      <c r="N18" s="9">
        <v>-948</v>
      </c>
      <c r="O18" s="9">
        <v>-312.87841192670783</v>
      </c>
      <c r="P18" s="9">
        <v>-46.489690132346105</v>
      </c>
      <c r="Q18" s="9">
        <v>-1317.5353814164835</v>
      </c>
      <c r="R18" s="9">
        <v>-2624.9034834755375</v>
      </c>
      <c r="T18" s="9">
        <v>-491.9031907241486</v>
      </c>
      <c r="U18" s="9">
        <v>208.92256334536364</v>
      </c>
      <c r="V18" s="9">
        <v>861.16194290620774</v>
      </c>
      <c r="W18" s="9">
        <v>1777.6499904166265</v>
      </c>
      <c r="X18" s="9">
        <v>2355.8313059440493</v>
      </c>
      <c r="Z18" s="9">
        <v>1146.8921844596955</v>
      </c>
      <c r="AA18" s="9">
        <v>2673.3090493251884</v>
      </c>
      <c r="AB18" s="124">
        <v>3729.4229209862442</v>
      </c>
      <c r="AC18" s="124">
        <v>4724.1551840443781</v>
      </c>
      <c r="AD18" s="124">
        <v>12273.779338815506</v>
      </c>
      <c r="AE18"/>
      <c r="AF18" s="124">
        <v>2280.8265582544141</v>
      </c>
      <c r="AG18" s="124">
        <v>3473.4073081905963</v>
      </c>
      <c r="AH18" s="124">
        <v>2694.6939100961108</v>
      </c>
      <c r="AK18" s="7"/>
      <c r="AL18" s="7"/>
      <c r="AM18" s="7"/>
      <c r="AN18" s="7"/>
    </row>
    <row r="19" spans="1:40" s="6" customFormat="1" x14ac:dyDescent="0.3">
      <c r="A19" s="36" t="str">
        <f>HLOOKUP(Chosen,Hide!$A$25:$C$48, 18, FALSE)</f>
        <v>Zysk/(strata) netto z działalności kontynuowanej</v>
      </c>
      <c r="B19" s="8">
        <v>-5984</v>
      </c>
      <c r="C19" s="8">
        <v>12392</v>
      </c>
      <c r="D19" s="8">
        <v>5595</v>
      </c>
      <c r="E19" s="8">
        <v>30001</v>
      </c>
      <c r="F19" s="8">
        <v>42004</v>
      </c>
      <c r="H19" s="8">
        <v>1045</v>
      </c>
      <c r="I19" s="8">
        <v>11991</v>
      </c>
      <c r="J19" s="8">
        <v>11265.283976706669</v>
      </c>
      <c r="K19" s="8">
        <v>9351.7160232933311</v>
      </c>
      <c r="L19" s="8">
        <v>33653</v>
      </c>
      <c r="N19" s="8">
        <v>5288</v>
      </c>
      <c r="O19" s="8">
        <v>3168.4954215329426</v>
      </c>
      <c r="P19" s="8">
        <v>2421.5127323653774</v>
      </c>
      <c r="Q19" s="8">
        <v>8070.0800630544491</v>
      </c>
      <c r="R19" s="8">
        <v>18948.088216952769</v>
      </c>
      <c r="T19" s="8">
        <v>4907.2405998744234</v>
      </c>
      <c r="U19" s="8">
        <v>620.79968689844873</v>
      </c>
      <c r="V19" s="8">
        <v>-1624.0870772394735</v>
      </c>
      <c r="W19" s="8">
        <v>-4202.9989506467682</v>
      </c>
      <c r="X19" s="8">
        <v>-299.04574111337024</v>
      </c>
      <c r="Z19" s="8">
        <v>-6934.7656975246764</v>
      </c>
      <c r="AA19" s="8">
        <v>-4503.5860848151378</v>
      </c>
      <c r="AB19" s="123">
        <v>-7530.7069124306099</v>
      </c>
      <c r="AC19" s="123">
        <v>-8707.2318918979909</v>
      </c>
      <c r="AD19" s="123">
        <v>-27676.290586668416</v>
      </c>
      <c r="AE19"/>
      <c r="AF19" s="123">
        <v>-1013.4872707623576</v>
      </c>
      <c r="AG19" s="123">
        <v>-1850.6426330632703</v>
      </c>
      <c r="AH19" s="123">
        <v>-1355.7534441574921</v>
      </c>
    </row>
    <row r="20" spans="1:40" ht="28.8" x14ac:dyDescent="0.3">
      <c r="A20" s="37" t="str">
        <f>HLOOKUP(Chosen,Hide!$A$25:$C$48, 19, FALSE)</f>
        <v>Zysk/(strata) netto za okres sprawozdawczy przypadająca na Akcjonariuszy Jednostki Dominującej</v>
      </c>
      <c r="B20" s="7">
        <v>-5984</v>
      </c>
      <c r="C20" s="7">
        <v>10700</v>
      </c>
      <c r="D20" s="7">
        <v>4505</v>
      </c>
      <c r="E20" s="7">
        <v>30887</v>
      </c>
      <c r="F20" s="7">
        <v>40108</v>
      </c>
      <c r="H20" s="7">
        <v>1962</v>
      </c>
      <c r="I20" s="7">
        <v>7777</v>
      </c>
      <c r="J20" s="7">
        <v>8453.947082195893</v>
      </c>
      <c r="K20" s="7">
        <v>7346.052917804107</v>
      </c>
      <c r="L20" s="7">
        <v>25539</v>
      </c>
      <c r="N20" s="7">
        <v>4100</v>
      </c>
      <c r="O20" s="7">
        <v>2434.913925631763</v>
      </c>
      <c r="P20" s="7">
        <v>1846.5916916655442</v>
      </c>
      <c r="Q20" s="7">
        <v>6033.7957726906798</v>
      </c>
      <c r="R20" s="7">
        <v>14416.301389987986</v>
      </c>
      <c r="T20" s="7">
        <v>4467.4901700240152</v>
      </c>
      <c r="U20" s="7">
        <v>1402.4252385690252</v>
      </c>
      <c r="V20" s="7">
        <v>79.722162976475374</v>
      </c>
      <c r="W20" s="7">
        <v>-1670.76142239206</v>
      </c>
      <c r="X20" s="7">
        <v>4278.8761491774558</v>
      </c>
      <c r="Z20" s="7">
        <v>-3264.5185768553838</v>
      </c>
      <c r="AA20" s="7">
        <v>-1192.598476203053</v>
      </c>
      <c r="AB20" s="126">
        <v>-3443.8792632841314</v>
      </c>
      <c r="AC20" s="126">
        <v>-5017.6321534417275</v>
      </c>
      <c r="AD20" s="126">
        <v>-12918.628469784297</v>
      </c>
      <c r="AE20"/>
      <c r="AF20" s="126">
        <v>-1012.3741263342629</v>
      </c>
      <c r="AG20" s="126">
        <v>-1850.7618188350764</v>
      </c>
      <c r="AH20" s="126">
        <f>-1355.30031614908-0.5</f>
        <v>-1355.8003161490799</v>
      </c>
    </row>
    <row r="21" spans="1:40" ht="28.8" x14ac:dyDescent="0.3">
      <c r="A21" s="37" t="str">
        <f>HLOOKUP(Chosen,Hide!$A$25:$C$48, 20, FALSE)</f>
        <v>Zysk/(strata) netto za okres sprawozdawczy przypadająca na udziały niedające kontroli</v>
      </c>
      <c r="B21" s="7">
        <v>0</v>
      </c>
      <c r="C21" s="7">
        <v>1692</v>
      </c>
      <c r="D21" s="7">
        <v>1090</v>
      </c>
      <c r="E21" s="7">
        <v>-886</v>
      </c>
      <c r="F21" s="7">
        <v>1896</v>
      </c>
      <c r="H21" s="7">
        <v>-917</v>
      </c>
      <c r="I21" s="7">
        <v>4214</v>
      </c>
      <c r="J21" s="7">
        <v>2811.3368945107759</v>
      </c>
      <c r="K21" s="7">
        <v>2005.6631054892241</v>
      </c>
      <c r="L21" s="7">
        <v>8114</v>
      </c>
      <c r="N21" s="7">
        <v>1188</v>
      </c>
      <c r="O21" s="7">
        <v>732.54480365699499</v>
      </c>
      <c r="P21" s="7">
        <v>574.98104069984947</v>
      </c>
      <c r="Q21" s="7">
        <v>2036.4609826078804</v>
      </c>
      <c r="R21" s="7">
        <v>4531.986826964725</v>
      </c>
      <c r="T21" s="7">
        <v>439.76042985040436</v>
      </c>
      <c r="U21" s="7">
        <v>-781.27555167055243</v>
      </c>
      <c r="V21" s="7">
        <v>-1704.4992402159328</v>
      </c>
      <c r="W21" s="7">
        <v>-2531.5575282547802</v>
      </c>
      <c r="X21" s="7">
        <v>-4577.5718902908611</v>
      </c>
      <c r="Z21" s="7">
        <v>-3670.3971206692968</v>
      </c>
      <c r="AA21" s="7">
        <v>-3310.5076086120685</v>
      </c>
      <c r="AB21" s="126">
        <v>-4087.2076491464813</v>
      </c>
      <c r="AC21" s="126">
        <v>-3689.3497384562888</v>
      </c>
      <c r="AD21" s="126">
        <v>-14757.462116884135</v>
      </c>
      <c r="AE21"/>
      <c r="AF21" s="126">
        <v>-0.96314442809827161</v>
      </c>
      <c r="AG21" s="126">
        <v>-0.38081422820206112</v>
      </c>
      <c r="AH21" s="126">
        <v>0.1968719915744781</v>
      </c>
    </row>
    <row r="22" spans="1:40" s="6" customFormat="1" x14ac:dyDescent="0.3">
      <c r="A22" s="39"/>
      <c r="B22" s="8">
        <v>-5984</v>
      </c>
      <c r="C22" s="8">
        <v>12392</v>
      </c>
      <c r="D22" s="8">
        <v>5595</v>
      </c>
      <c r="E22" s="8">
        <v>30001</v>
      </c>
      <c r="F22" s="8">
        <v>42004</v>
      </c>
      <c r="H22" s="8">
        <v>1045</v>
      </c>
      <c r="I22" s="8">
        <v>11991</v>
      </c>
      <c r="J22" s="8">
        <v>11265.283976706669</v>
      </c>
      <c r="K22" s="8">
        <v>9351.7160232933311</v>
      </c>
      <c r="L22" s="8">
        <v>33653</v>
      </c>
      <c r="N22" s="8">
        <v>5288</v>
      </c>
      <c r="O22" s="8">
        <v>3167.5087292887583</v>
      </c>
      <c r="P22" s="8">
        <v>2421.5727323653937</v>
      </c>
      <c r="Q22" s="8">
        <v>8070.20675529856</v>
      </c>
      <c r="R22" s="8">
        <v>18948.288216952711</v>
      </c>
      <c r="T22" s="8">
        <v>4907.25059987442</v>
      </c>
      <c r="U22" s="8">
        <v>621.14968689847274</v>
      </c>
      <c r="V22" s="8">
        <v>-1624.3770772394573</v>
      </c>
      <c r="W22" s="8">
        <v>-4202.7189506468403</v>
      </c>
      <c r="X22" s="8">
        <v>-298.69574111340535</v>
      </c>
      <c r="Z22" s="8">
        <v>-6934.6156975246804</v>
      </c>
      <c r="AA22" s="8">
        <v>-4503.7060848151214</v>
      </c>
      <c r="AB22" s="127">
        <v>-7530.6869124306131</v>
      </c>
      <c r="AC22" s="127">
        <v>-8707.0818918980185</v>
      </c>
      <c r="AD22" s="127">
        <v>-27676.090586668433</v>
      </c>
      <c r="AE22"/>
      <c r="AF22" s="127">
        <v>-1013.0372707623612</v>
      </c>
      <c r="AG22" s="127">
        <v>-1851.1426330632785</v>
      </c>
      <c r="AH22" s="127">
        <f>AH20</f>
        <v>-1355.8003161490799</v>
      </c>
    </row>
    <row r="23" spans="1:40" s="6" customFormat="1" x14ac:dyDescent="0.3">
      <c r="A23" s="39"/>
      <c r="B23" s="5"/>
      <c r="C23" s="5"/>
      <c r="D23" s="5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T23" s="5"/>
      <c r="X23" s="5"/>
      <c r="Z23" s="5"/>
      <c r="AA23" s="5"/>
      <c r="AB23" s="128"/>
      <c r="AC23" s="128"/>
      <c r="AE23"/>
    </row>
    <row r="24" spans="1:40" s="6" customFormat="1" x14ac:dyDescent="0.3">
      <c r="A24" s="42" t="str">
        <f>HLOOKUP(Chosen,Hide!$A$25:$C$61, 27, FALSE)</f>
        <v>Inne całkowite dochody</v>
      </c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T24" s="7"/>
      <c r="X24" s="7"/>
      <c r="Z24" s="7"/>
      <c r="AA24" s="7"/>
      <c r="AB24" s="129"/>
      <c r="AC24" s="129"/>
      <c r="AE24"/>
    </row>
    <row r="25" spans="1:40" x14ac:dyDescent="0.3">
      <c r="A25" s="37" t="str">
        <f>HLOOKUP(Chosen,Hide!$A$25:$C$61, 28, FALSE)</f>
        <v>Różnice kursowe z przeliczenia</v>
      </c>
      <c r="B25" s="11">
        <v>0</v>
      </c>
      <c r="C25" s="7">
        <v>-3762</v>
      </c>
      <c r="D25" s="7">
        <v>1310</v>
      </c>
      <c r="E25" s="7">
        <v>7914</v>
      </c>
      <c r="F25" s="7">
        <v>5462</v>
      </c>
      <c r="H25" s="7">
        <v>-7253</v>
      </c>
      <c r="I25" s="7">
        <v>-8712</v>
      </c>
      <c r="J25" s="7">
        <v>-2131.5090856321508</v>
      </c>
      <c r="K25" s="7">
        <v>-6882.4909143678487</v>
      </c>
      <c r="L25" s="7">
        <v>-24979</v>
      </c>
      <c r="M25" s="7"/>
      <c r="N25" s="7">
        <v>-2620</v>
      </c>
      <c r="O25" s="7">
        <v>13284.815636834726</v>
      </c>
      <c r="P25" s="7">
        <v>-2841.8369847425538</v>
      </c>
      <c r="Q25" s="7">
        <v>3534.0561631096907</v>
      </c>
      <c r="R25" s="7">
        <v>11357.034815201863</v>
      </c>
      <c r="T25" s="7">
        <v>3247.2137390380894</v>
      </c>
      <c r="U25" s="7">
        <v>-4312.6293876909895</v>
      </c>
      <c r="V25" s="7">
        <v>10822.267809957353</v>
      </c>
      <c r="W25" s="7">
        <v>-7961.6779875202747</v>
      </c>
      <c r="X25" s="7">
        <v>1795.1741737841794</v>
      </c>
      <c r="Z25" s="7">
        <v>11859.71446551931</v>
      </c>
      <c r="AA25" s="7">
        <v>-5134.2088028884236</v>
      </c>
      <c r="AB25" s="126">
        <v>-3830.0387544647083</v>
      </c>
      <c r="AC25" s="126">
        <v>-2621.0870824336871</v>
      </c>
      <c r="AD25" s="126">
        <v>274.37982573249019</v>
      </c>
      <c r="AE25"/>
      <c r="AF25" s="126">
        <v>4384.3401618842654</v>
      </c>
      <c r="AG25" s="126">
        <f>'[2]Całk. doch.'!$C$47</f>
        <v>-3371.2327786625638</v>
      </c>
      <c r="AH25" s="126">
        <v>3726.8346098349512</v>
      </c>
    </row>
    <row r="26" spans="1:40" ht="30" customHeight="1" x14ac:dyDescent="0.3">
      <c r="A26" s="88" t="str">
        <f>HLOOKUP(Chosen,Hide!$A$25:$C$61, 29, FALSE)</f>
        <v>Różnice kursowe od pożyczek stanowiących część inwestycji netto w jednostki zależne</v>
      </c>
      <c r="B26" s="11">
        <v>0</v>
      </c>
      <c r="C26" s="7">
        <v>0</v>
      </c>
      <c r="D26" s="7">
        <v>0</v>
      </c>
      <c r="E26" s="7">
        <v>4449</v>
      </c>
      <c r="F26" s="7">
        <v>4449</v>
      </c>
      <c r="H26" s="7">
        <v>-3790</v>
      </c>
      <c r="I26" s="7">
        <v>-4619</v>
      </c>
      <c r="J26" s="7">
        <v>-1050.7934999999998</v>
      </c>
      <c r="K26" s="7">
        <v>-3349.2065000000002</v>
      </c>
      <c r="L26" s="7">
        <v>-12809</v>
      </c>
      <c r="M26" s="7"/>
      <c r="N26" s="7">
        <v>-1248</v>
      </c>
      <c r="O26" s="7">
        <v>6191.7301600000001</v>
      </c>
      <c r="P26" s="7">
        <v>-1303.2227815000106</v>
      </c>
      <c r="Q26" s="7">
        <v>1623.2063155000105</v>
      </c>
      <c r="R26" s="7">
        <v>5263.713694</v>
      </c>
      <c r="T26" s="7">
        <v>1496.4943749199999</v>
      </c>
      <c r="U26" s="7">
        <v>-1873.99947492</v>
      </c>
      <c r="V26" s="7">
        <v>4458.5754900000002</v>
      </c>
      <c r="W26" s="7">
        <v>-3431.5668099999998</v>
      </c>
      <c r="X26" s="7">
        <v>649.50357999999994</v>
      </c>
      <c r="Z26" s="7">
        <v>5941.2684500000005</v>
      </c>
      <c r="AA26" s="7">
        <v>-2855.9108500000002</v>
      </c>
      <c r="AB26" s="126">
        <v>-1999.6896900000002</v>
      </c>
      <c r="AC26" s="126">
        <v>-1893.8397300000001</v>
      </c>
      <c r="AD26" s="126">
        <v>-808.17181999999991</v>
      </c>
      <c r="AE26"/>
      <c r="AF26" s="126">
        <v>3822.1548299999999</v>
      </c>
      <c r="AG26" s="126">
        <f>'[2]Całk. doch.'!$C$48</f>
        <v>-3027.8445199999996</v>
      </c>
      <c r="AH26" s="126">
        <v>3536.8683000000001</v>
      </c>
    </row>
    <row r="27" spans="1:40" ht="30" customHeight="1" x14ac:dyDescent="0.3">
      <c r="A27" s="37" t="str">
        <f>HLOOKUP(Chosen,Hide!$A$25:$C$61, 30, FALSE)</f>
        <v xml:space="preserve">Podatek odroczony od wyceny różnic kursowych od pożyczek </v>
      </c>
      <c r="B27" s="11">
        <v>0</v>
      </c>
      <c r="C27" s="7">
        <v>0</v>
      </c>
      <c r="D27" s="7">
        <v>0</v>
      </c>
      <c r="E27" s="7">
        <v>-845</v>
      </c>
      <c r="F27" s="7">
        <v>-845</v>
      </c>
      <c r="H27" s="7">
        <v>720</v>
      </c>
      <c r="I27" s="7">
        <v>878</v>
      </c>
      <c r="J27" s="7">
        <v>198.96635930000025</v>
      </c>
      <c r="K27" s="7">
        <v>548.03364069999975</v>
      </c>
      <c r="L27" s="7">
        <v>2345</v>
      </c>
      <c r="M27" s="7"/>
      <c r="N27" s="7">
        <v>238</v>
      </c>
      <c r="O27" s="7">
        <v>-1177.5087304000001</v>
      </c>
      <c r="P27" s="7">
        <v>247.84652848500184</v>
      </c>
      <c r="Q27" s="7">
        <v>-308.44339994500183</v>
      </c>
      <c r="R27" s="7">
        <v>-1000.1056018600001</v>
      </c>
      <c r="T27" s="7">
        <v>-284.35863123480004</v>
      </c>
      <c r="U27" s="7">
        <v>199.93290123480006</v>
      </c>
      <c r="V27" s="7">
        <v>-847.12934999999993</v>
      </c>
      <c r="W27" s="7">
        <v>652.04329999999982</v>
      </c>
      <c r="X27" s="7">
        <v>-279.51177999999999</v>
      </c>
      <c r="Z27" s="7">
        <v>-1128.8410100000001</v>
      </c>
      <c r="AA27" s="7">
        <v>542.62306000000012</v>
      </c>
      <c r="AB27" s="126">
        <v>379.94104709999993</v>
      </c>
      <c r="AC27" s="126">
        <v>359.82954870000003</v>
      </c>
      <c r="AD27" s="126">
        <v>153.55264579999999</v>
      </c>
      <c r="AE27"/>
      <c r="AF27" s="126">
        <v>-726.20941770000002</v>
      </c>
      <c r="AG27" s="126">
        <f>'[2]Całk. doch.'!$C$49</f>
        <v>575.23345879999999</v>
      </c>
      <c r="AH27" s="126">
        <v>-671.94797700000004</v>
      </c>
    </row>
    <row r="28" spans="1:40" x14ac:dyDescent="0.3">
      <c r="A28" s="36" t="str">
        <f>HLOOKUP(Chosen,Hide!$A$25:$C$61, 31, FALSE)</f>
        <v>Inne całkowite dochody</v>
      </c>
      <c r="B28" s="8">
        <v>0</v>
      </c>
      <c r="C28" s="8">
        <v>-3762</v>
      </c>
      <c r="D28" s="8">
        <v>1310</v>
      </c>
      <c r="E28" s="8">
        <v>11518</v>
      </c>
      <c r="F28" s="8">
        <v>9066</v>
      </c>
      <c r="H28" s="8">
        <v>-10323</v>
      </c>
      <c r="I28" s="8">
        <v>-12453</v>
      </c>
      <c r="J28" s="8">
        <v>-2983.5062263321506</v>
      </c>
      <c r="K28" s="8">
        <v>-9683.4937736678476</v>
      </c>
      <c r="L28" s="8">
        <v>-35443</v>
      </c>
      <c r="M28" s="8"/>
      <c r="N28" s="8">
        <v>-3630</v>
      </c>
      <c r="O28" s="8">
        <v>18299.037066434725</v>
      </c>
      <c r="P28" s="8">
        <v>-3897.2132377575626</v>
      </c>
      <c r="Q28" s="8">
        <v>4848.8190786646992</v>
      </c>
      <c r="R28" s="8">
        <v>15620.642907341862</v>
      </c>
      <c r="T28" s="8">
        <v>4459.3494827232898</v>
      </c>
      <c r="U28" s="8">
        <v>-5986.6959613761892</v>
      </c>
      <c r="V28" s="8">
        <v>14433.713949957353</v>
      </c>
      <c r="W28" s="8">
        <v>-10741.201497520273</v>
      </c>
      <c r="X28" s="8">
        <v>2165.1659737841796</v>
      </c>
      <c r="Z28" s="8">
        <v>16672.141905519311</v>
      </c>
      <c r="AA28" s="8">
        <v>-7447.4965928884239</v>
      </c>
      <c r="AB28" s="127">
        <v>-5449.7873973647083</v>
      </c>
      <c r="AC28" s="127">
        <v>-4155.097263733689</v>
      </c>
      <c r="AD28" s="127">
        <v>-380.23934846750973</v>
      </c>
      <c r="AE28"/>
      <c r="AF28" s="127">
        <v>7480.285574184265</v>
      </c>
      <c r="AG28" s="127">
        <f>'[2]Całk. doch.'!$C$51</f>
        <v>-5823.8438398625631</v>
      </c>
      <c r="AH28" s="127">
        <v>6591.7549328349514</v>
      </c>
    </row>
    <row r="29" spans="1:40" ht="28.8" x14ac:dyDescent="0.3">
      <c r="A29" s="37" t="str">
        <f>HLOOKUP(Chosen,Hide!$A$25:$C$61, 32, FALSE)</f>
        <v>Inne całkowite dochody przypadające na Akcjonariuszy Jednostki Dominującej</v>
      </c>
      <c r="B29" s="11">
        <v>0</v>
      </c>
      <c r="C29" s="7">
        <v>-4006</v>
      </c>
      <c r="D29" s="7">
        <v>1602</v>
      </c>
      <c r="E29" s="7">
        <v>11113</v>
      </c>
      <c r="F29" s="7">
        <v>8709</v>
      </c>
      <c r="H29" s="7">
        <v>-8148</v>
      </c>
      <c r="I29" s="7">
        <v>-10159</v>
      </c>
      <c r="J29" s="7">
        <v>-2408.6570439895231</v>
      </c>
      <c r="K29" s="7">
        <v>-7809.3429560104769</v>
      </c>
      <c r="L29" s="7">
        <v>-28525</v>
      </c>
      <c r="M29" s="7"/>
      <c r="N29" s="7">
        <v>-2965</v>
      </c>
      <c r="O29" s="7">
        <v>14884.000000000002</v>
      </c>
      <c r="P29" s="7">
        <v>-3163.0854150671821</v>
      </c>
      <c r="Q29" s="7">
        <v>3909.339088542627</v>
      </c>
      <c r="R29" s="7">
        <v>12665.253673475447</v>
      </c>
      <c r="T29" s="7">
        <v>3617.7644082868974</v>
      </c>
      <c r="U29" s="7">
        <v>-4866.5626467009579</v>
      </c>
      <c r="V29" s="7">
        <v>11624.685391035469</v>
      </c>
      <c r="W29" s="7">
        <v>-8679.1370147096659</v>
      </c>
      <c r="X29" s="7">
        <v>1696.7501379117443</v>
      </c>
      <c r="Z29" s="7">
        <v>14162.69148843999</v>
      </c>
      <c r="AA29" s="7">
        <v>-6399.1894182889391</v>
      </c>
      <c r="AB29" s="126">
        <v>-4698.0185734565912</v>
      </c>
      <c r="AC29" s="126">
        <v>-3698.9636206584346</v>
      </c>
      <c r="AD29" s="126">
        <v>-633.48012396397394</v>
      </c>
      <c r="AE29"/>
      <c r="AF29" s="126">
        <v>7480.0422745166052</v>
      </c>
      <c r="AG29" s="126">
        <v>-5823.6005401948933</v>
      </c>
      <c r="AH29" s="126">
        <v>6592.0518072031373</v>
      </c>
    </row>
    <row r="30" spans="1:40" ht="28.8" x14ac:dyDescent="0.3">
      <c r="A30" s="37" t="str">
        <f>HLOOKUP(Chosen,Hide!$A$25:$C$61, 33, FALSE)</f>
        <v>Inne całkowite dochody przypadające na udziały niedające kontroli</v>
      </c>
      <c r="B30" s="11">
        <v>0</v>
      </c>
      <c r="C30" s="7">
        <v>244</v>
      </c>
      <c r="D30" s="7">
        <v>-292</v>
      </c>
      <c r="E30" s="7">
        <v>405</v>
      </c>
      <c r="F30" s="7">
        <v>357</v>
      </c>
      <c r="H30" s="7">
        <v>-2175</v>
      </c>
      <c r="I30" s="7">
        <v>-2294</v>
      </c>
      <c r="J30" s="7">
        <v>-574.83918234261273</v>
      </c>
      <c r="K30" s="7">
        <v>-1874.1608176573873</v>
      </c>
      <c r="L30" s="7">
        <v>-6918</v>
      </c>
      <c r="M30" s="7"/>
      <c r="N30" s="7">
        <v>-665</v>
      </c>
      <c r="O30" s="7">
        <v>3414.9677801011703</v>
      </c>
      <c r="P30" s="7">
        <v>-734.24782269037678</v>
      </c>
      <c r="Q30" s="7">
        <v>939.81927645562655</v>
      </c>
      <c r="R30" s="7">
        <v>2955.5392338664201</v>
      </c>
      <c r="T30" s="7">
        <v>841.48507443639153</v>
      </c>
      <c r="U30" s="7">
        <v>-1119.9333146752306</v>
      </c>
      <c r="V30" s="7">
        <v>2808.9285589218853</v>
      </c>
      <c r="W30" s="7">
        <v>-2062.3044828106113</v>
      </c>
      <c r="X30" s="7">
        <v>468.17583587243502</v>
      </c>
      <c r="Z30" s="7">
        <v>2509.4504170793207</v>
      </c>
      <c r="AA30" s="7">
        <v>-1048.1671745994854</v>
      </c>
      <c r="AB30" s="126">
        <v>-751.70882390811721</v>
      </c>
      <c r="AC30" s="126">
        <v>-456.3336430752538</v>
      </c>
      <c r="AD30" s="126">
        <v>253.24077549646429</v>
      </c>
      <c r="AE30"/>
      <c r="AF30" s="126">
        <v>0.24329966765978772</v>
      </c>
      <c r="AG30" s="126">
        <v>-0.24329966767002353</v>
      </c>
      <c r="AH30" s="126">
        <v>-0.39687436818756927</v>
      </c>
    </row>
    <row r="31" spans="1:40" x14ac:dyDescent="0.3">
      <c r="A31" s="36"/>
      <c r="B31" s="5"/>
      <c r="C31" s="5"/>
      <c r="D31" s="5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X31" s="5"/>
      <c r="Z31" s="5"/>
      <c r="AA31" s="5"/>
      <c r="AE31"/>
    </row>
    <row r="32" spans="1:40" x14ac:dyDescent="0.3">
      <c r="A32" s="42" t="str">
        <f>HLOOKUP(Chosen,Hide!$A$25:$C$61, 35, FALSE)</f>
        <v>Całkowite dochody ogółem za okres sprawozdawczy</v>
      </c>
      <c r="B32" s="5"/>
      <c r="C32" s="5"/>
      <c r="D32" s="5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X32" s="5"/>
      <c r="Z32" s="5"/>
      <c r="AA32" s="5"/>
      <c r="AE32"/>
    </row>
    <row r="33" spans="1:34" ht="28.8" x14ac:dyDescent="0.3">
      <c r="A33" s="37" t="str">
        <f>HLOOKUP(Chosen,Hide!$A$25:$C$61, 36, FALSE)</f>
        <v>Całkowite dochody za okres sprawozdawczy przypadające na Akcjonariuszy Jednostki Dominującej</v>
      </c>
      <c r="B33" s="7">
        <v>-5984</v>
      </c>
      <c r="C33" s="7">
        <v>6694</v>
      </c>
      <c r="D33" s="7">
        <v>6107</v>
      </c>
      <c r="E33" s="7">
        <v>42000</v>
      </c>
      <c r="F33" s="7">
        <v>48817</v>
      </c>
      <c r="H33" s="7">
        <v>-6186</v>
      </c>
      <c r="I33" s="7">
        <v>-2382</v>
      </c>
      <c r="J33" s="7">
        <v>6045.2900382063699</v>
      </c>
      <c r="K33" s="7">
        <v>-463.2900382063699</v>
      </c>
      <c r="L33" s="7">
        <v>-2986</v>
      </c>
      <c r="M33" s="7"/>
      <c r="N33" s="7">
        <v>1135</v>
      </c>
      <c r="O33" s="7">
        <v>17318.913925631765</v>
      </c>
      <c r="P33" s="7">
        <v>-1316.4937234016381</v>
      </c>
      <c r="Q33" s="7">
        <v>9944.0348612333109</v>
      </c>
      <c r="R33" s="7">
        <v>27081.455063463436</v>
      </c>
      <c r="T33" s="7">
        <v>8085.3945783109139</v>
      </c>
      <c r="U33" s="7">
        <v>-3465.277408131934</v>
      </c>
      <c r="V33" s="7">
        <v>11704.507554011945</v>
      </c>
      <c r="W33" s="7">
        <v>-10348.998437101725</v>
      </c>
      <c r="X33" s="7">
        <v>5975.6262870892006</v>
      </c>
      <c r="Z33" s="7">
        <v>10898.472911584606</v>
      </c>
      <c r="AA33" s="7">
        <v>-7591.9678944919924</v>
      </c>
      <c r="AB33" s="126">
        <v>-8141.7978367407222</v>
      </c>
      <c r="AC33" s="126">
        <v>-8716.8157741001633</v>
      </c>
      <c r="AD33" s="126">
        <v>-13552.108593748271</v>
      </c>
      <c r="AE33"/>
      <c r="AF33" s="126">
        <v>6467.6681481823416</v>
      </c>
      <c r="AG33" s="126">
        <v>-7674.5623590299692</v>
      </c>
      <c r="AH33" s="126">
        <v>5236</v>
      </c>
    </row>
    <row r="34" spans="1:34" ht="28.8" x14ac:dyDescent="0.3">
      <c r="A34" s="37" t="str">
        <f>HLOOKUP(Chosen,Hide!$A$25:$C$61, 37, FALSE)</f>
        <v>Całkowite dochody za okres sprawozdawczy przypadające na udziały niedające kontroli</v>
      </c>
      <c r="B34" s="7">
        <v>0</v>
      </c>
      <c r="C34" s="7">
        <v>1936</v>
      </c>
      <c r="D34" s="7">
        <v>798</v>
      </c>
      <c r="E34" s="7">
        <v>-481</v>
      </c>
      <c r="F34" s="7">
        <v>2253</v>
      </c>
      <c r="H34" s="7">
        <v>-3092</v>
      </c>
      <c r="I34" s="7">
        <v>1920</v>
      </c>
      <c r="J34" s="7">
        <v>2236.4977121681632</v>
      </c>
      <c r="K34" s="7">
        <v>131.50228783183684</v>
      </c>
      <c r="L34" s="7">
        <v>1196</v>
      </c>
      <c r="M34" s="7"/>
      <c r="N34" s="7">
        <v>523</v>
      </c>
      <c r="O34" s="7">
        <v>4147.5125837581654</v>
      </c>
      <c r="P34" s="7">
        <v>-159.26678199052731</v>
      </c>
      <c r="Q34" s="7">
        <v>2976.3802590635078</v>
      </c>
      <c r="R34" s="7">
        <v>7487.6260608311459</v>
      </c>
      <c r="T34" s="7">
        <v>1281.475504286796</v>
      </c>
      <c r="U34" s="7">
        <v>-1900.5888663457831</v>
      </c>
      <c r="V34" s="7">
        <v>1104.4293187059525</v>
      </c>
      <c r="W34" s="7">
        <v>-4594.7120110653923</v>
      </c>
      <c r="X34" s="7">
        <v>-4109.3960544184265</v>
      </c>
      <c r="Z34" s="7">
        <v>-1160.9467035899761</v>
      </c>
      <c r="AA34" s="7">
        <v>-4358.654783211553</v>
      </c>
      <c r="AB34" s="126">
        <v>-4838.9164730545981</v>
      </c>
      <c r="AC34" s="126">
        <v>-4145.7033815315435</v>
      </c>
      <c r="AD34" s="126">
        <v>-14504.221341387671</v>
      </c>
      <c r="AE34"/>
      <c r="AF34" s="126">
        <v>-0.719844760438484</v>
      </c>
      <c r="AG34" s="126">
        <v>-0.42411389587208442</v>
      </c>
      <c r="AH34" s="126">
        <v>-0.20000237661309117</v>
      </c>
    </row>
    <row r="35" spans="1:34" x14ac:dyDescent="0.3">
      <c r="A35" s="42" t="str">
        <f>HLOOKUP(Chosen,Hide!$A$25:$C$61, 35, FALSE)</f>
        <v>Całkowite dochody ogółem za okres sprawozdawczy</v>
      </c>
      <c r="B35" s="8">
        <v>-5984</v>
      </c>
      <c r="C35" s="8">
        <v>8630</v>
      </c>
      <c r="D35" s="8">
        <v>6905</v>
      </c>
      <c r="E35" s="8">
        <v>41519</v>
      </c>
      <c r="F35" s="8">
        <v>51070</v>
      </c>
      <c r="H35" s="8">
        <v>-9278</v>
      </c>
      <c r="I35" s="8">
        <v>-462</v>
      </c>
      <c r="J35" s="8">
        <v>8281.4577503745186</v>
      </c>
      <c r="K35" s="8">
        <v>-331.45775037451858</v>
      </c>
      <c r="L35" s="8">
        <v>-1790</v>
      </c>
      <c r="M35" s="8"/>
      <c r="N35" s="8">
        <v>1658</v>
      </c>
      <c r="O35" s="8">
        <v>21466.526509389929</v>
      </c>
      <c r="P35" s="8">
        <v>-1475.4905053921655</v>
      </c>
      <c r="Q35" s="8">
        <v>12920.095120296803</v>
      </c>
      <c r="R35" s="8">
        <v>34569.131124294567</v>
      </c>
      <c r="T35" s="8">
        <v>9366.4900825977093</v>
      </c>
      <c r="U35" s="8">
        <v>-5365.546274477716</v>
      </c>
      <c r="V35" s="8">
        <v>12808.936872717897</v>
      </c>
      <c r="W35" s="8">
        <v>-14943.210448167116</v>
      </c>
      <c r="X35" s="8">
        <v>1866.6702326707743</v>
      </c>
      <c r="Z35" s="8">
        <v>9737.4162079946291</v>
      </c>
      <c r="AA35" s="8">
        <v>-11951.092677703546</v>
      </c>
      <c r="AB35" s="127">
        <v>-12980.714309795319</v>
      </c>
      <c r="AC35" s="127">
        <v>-12861.939155631706</v>
      </c>
      <c r="AD35" s="127">
        <v>-28056.329935135942</v>
      </c>
      <c r="AE35"/>
      <c r="AF35" s="127">
        <v>6467.1383034219043</v>
      </c>
      <c r="AG35" s="127">
        <v>-7674.9864729258416</v>
      </c>
      <c r="AH35" s="127">
        <v>5236</v>
      </c>
    </row>
    <row r="36" spans="1:34" s="6" customFormat="1" x14ac:dyDescent="0.3">
      <c r="A36" s="2"/>
      <c r="B36" s="7"/>
      <c r="C36" s="7"/>
      <c r="D36" s="7"/>
      <c r="E36" s="7"/>
      <c r="F36" s="7"/>
      <c r="H36" s="7"/>
      <c r="I36" s="7"/>
      <c r="J36" s="7"/>
      <c r="AE36"/>
    </row>
    <row r="37" spans="1:34" s="6" customFormat="1" ht="28.8" x14ac:dyDescent="0.3">
      <c r="A37" s="39" t="str">
        <f>HLOOKUP(Chosen,Hide!$A$25:$C$48, 22, FALSE)</f>
        <v>Zysk/(strata) netto przypadający na Akcjonariuszy Jednostki Dominującej na jedną akcję (w złotych)</v>
      </c>
      <c r="B37" s="7"/>
      <c r="C37" s="7"/>
      <c r="D37" s="7"/>
      <c r="E37" s="7"/>
      <c r="F37" s="7"/>
      <c r="H37" s="7"/>
      <c r="I37" s="7"/>
      <c r="J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Z37" s="7"/>
      <c r="AA37" s="7"/>
      <c r="AE37"/>
    </row>
    <row r="38" spans="1:34" x14ac:dyDescent="0.3">
      <c r="A38" s="41" t="str">
        <f>HLOOKUP(Chosen,Hide!$A$25:$C$48, 23, FALSE)</f>
        <v>- podstawowy</v>
      </c>
      <c r="B38" s="10">
        <v>-1.7</v>
      </c>
      <c r="C38" s="10">
        <v>3.1</v>
      </c>
      <c r="D38" s="10">
        <v>1.2</v>
      </c>
      <c r="E38" s="10">
        <v>8.5</v>
      </c>
      <c r="F38" s="10">
        <v>11.1</v>
      </c>
      <c r="H38" s="10">
        <v>0.5</v>
      </c>
      <c r="I38" s="10">
        <v>2.2000000000000002</v>
      </c>
      <c r="J38" s="10">
        <v>2.3437613202650107</v>
      </c>
      <c r="K38" s="10">
        <v>2.04</v>
      </c>
      <c r="L38" s="10">
        <v>7.08</v>
      </c>
      <c r="M38" s="10"/>
      <c r="N38" s="10">
        <v>1.1399999999999999</v>
      </c>
      <c r="O38" s="10">
        <v>0.67505237749702329</v>
      </c>
      <c r="P38" s="10">
        <v>0.5119466846868711</v>
      </c>
      <c r="Q38" s="10">
        <v>1.6735429208792787</v>
      </c>
      <c r="R38" s="10">
        <v>3.9972819799408037</v>
      </c>
      <c r="T38" s="10">
        <v>1.2387239604051143</v>
      </c>
      <c r="U38" s="10">
        <v>0.38885765375572651</v>
      </c>
      <c r="V38" s="115">
        <v>2.2102069025914991E-2</v>
      </c>
      <c r="W38" s="10">
        <v>-0.46326060657598478</v>
      </c>
      <c r="X38" s="10">
        <v>1.1864259814506968</v>
      </c>
      <c r="Z38" s="10">
        <v>-0.90516984401481759</v>
      </c>
      <c r="AA38" s="10">
        <v>-0.33067790893592702</v>
      </c>
      <c r="AB38" s="149">
        <v>-0.7957521573251003</v>
      </c>
      <c r="AC38" s="149">
        <v>-0.95341370042464646</v>
      </c>
      <c r="AD38" s="149">
        <v>-3.1219498477004102</v>
      </c>
      <c r="AE38"/>
      <c r="AF38" s="149">
        <v>-0.23392193322200644</v>
      </c>
      <c r="AG38" s="154">
        <v>-0.42764208540473214</v>
      </c>
      <c r="AH38" s="154">
        <v>-0.31315939611964277</v>
      </c>
    </row>
    <row r="39" spans="1:34" s="6" customFormat="1" x14ac:dyDescent="0.3">
      <c r="A39" s="41" t="str">
        <f>HLOOKUP(Chosen,Hide!$A$25:$C$61, 24, FALSE)</f>
        <v>- rozwodniony</v>
      </c>
      <c r="B39" s="10">
        <v>-1.7</v>
      </c>
      <c r="C39" s="10">
        <v>2.9</v>
      </c>
      <c r="D39" s="10">
        <v>1.1000000000000001</v>
      </c>
      <c r="E39" s="10">
        <v>8.5</v>
      </c>
      <c r="F39" s="10">
        <v>11.1</v>
      </c>
      <c r="H39" s="10">
        <v>0.5</v>
      </c>
      <c r="I39" s="10">
        <v>2.1</v>
      </c>
      <c r="J39" s="10">
        <v>2.3437613202650107</v>
      </c>
      <c r="K39" s="10">
        <v>2.04</v>
      </c>
      <c r="L39" s="10">
        <v>7.08</v>
      </c>
      <c r="M39" s="10"/>
      <c r="N39" s="10">
        <v>1.1399999999999999</v>
      </c>
      <c r="O39" s="10">
        <v>0.67505237749702329</v>
      </c>
      <c r="P39" s="10">
        <v>0.5119466846868711</v>
      </c>
      <c r="Q39" s="10">
        <v>1.6735429208792787</v>
      </c>
      <c r="R39" s="10">
        <v>3.9972819799408037</v>
      </c>
      <c r="T39" s="10">
        <v>1.2387239604051143</v>
      </c>
      <c r="U39" s="10">
        <v>0.38885765375572651</v>
      </c>
      <c r="V39" s="115">
        <v>2.2102069025914991E-2</v>
      </c>
      <c r="W39" s="10">
        <v>-0.46326060657598478</v>
      </c>
      <c r="X39" s="10">
        <v>1.1864259814506968</v>
      </c>
      <c r="Z39" s="10">
        <v>-0.90516984401481759</v>
      </c>
      <c r="AA39" s="10">
        <v>-0.33067790893592702</v>
      </c>
      <c r="AB39" s="149">
        <v>-0.7957521573251003</v>
      </c>
      <c r="AC39" s="149">
        <v>-0.95341370042464646</v>
      </c>
      <c r="AD39" s="149">
        <v>-3.1219498477004102</v>
      </c>
      <c r="AE39"/>
      <c r="AF39" s="149">
        <v>-0.23392193322200644</v>
      </c>
      <c r="AG39" s="154">
        <v>-0.42764208540473214</v>
      </c>
      <c r="AH39" s="154">
        <v>-0.31315939611964277</v>
      </c>
    </row>
    <row r="40" spans="1:34" x14ac:dyDescent="0.3">
      <c r="B40" s="7"/>
      <c r="C40" s="7"/>
      <c r="D40" s="7"/>
      <c r="E40" s="7"/>
      <c r="H40" s="7"/>
      <c r="I40" s="7"/>
      <c r="J40" s="7"/>
      <c r="AC40"/>
    </row>
    <row r="41" spans="1:34" x14ac:dyDescent="0.3">
      <c r="B41" s="7"/>
      <c r="C41" s="7"/>
      <c r="D41" s="7"/>
      <c r="E41" s="7"/>
      <c r="H41" s="7"/>
      <c r="I41" s="7"/>
      <c r="J41" s="7"/>
      <c r="W41" s="7"/>
      <c r="Z41" s="7"/>
      <c r="AC41"/>
      <c r="AF41" s="7"/>
      <c r="AG41" s="7"/>
      <c r="AH41" s="7"/>
    </row>
    <row r="42" spans="1:34" x14ac:dyDescent="0.3">
      <c r="A42" s="6"/>
      <c r="B42" s="7"/>
      <c r="C42" s="7"/>
      <c r="D42" s="7"/>
      <c r="E42" s="7"/>
      <c r="F42" s="5"/>
      <c r="G42" s="6"/>
      <c r="H42" s="5"/>
      <c r="I42" s="5"/>
      <c r="J42" s="5"/>
      <c r="K42" s="6"/>
      <c r="L42" s="5"/>
      <c r="M42" s="6"/>
      <c r="N42" s="5"/>
      <c r="O42" s="5"/>
      <c r="P42" s="5"/>
      <c r="Q42" s="5"/>
      <c r="R42" s="5"/>
      <c r="T42" s="5"/>
      <c r="Z42" s="7"/>
      <c r="AA42" s="7"/>
      <c r="AB42" s="7"/>
      <c r="AC42" s="7"/>
      <c r="AD42" s="7"/>
    </row>
    <row r="43" spans="1:34" x14ac:dyDescent="0.3">
      <c r="B43" s="7"/>
      <c r="C43" s="7"/>
      <c r="D43" s="7"/>
      <c r="E43" s="7"/>
      <c r="H43" s="7"/>
      <c r="I43" s="7"/>
      <c r="J43" s="7"/>
      <c r="AC43"/>
    </row>
    <row r="44" spans="1:34" x14ac:dyDescent="0.3">
      <c r="B44" s="7"/>
      <c r="C44" s="7"/>
      <c r="D44" s="7"/>
      <c r="E44" s="7"/>
      <c r="H44" s="7"/>
      <c r="I44" s="7"/>
      <c r="J44" s="7"/>
      <c r="AC44"/>
    </row>
    <row r="45" spans="1:34" x14ac:dyDescent="0.3">
      <c r="B45" s="7"/>
      <c r="C45" s="7"/>
      <c r="D45" s="7"/>
      <c r="E45" s="7"/>
      <c r="H45" s="7"/>
      <c r="I45" s="7"/>
      <c r="J45" s="7"/>
      <c r="AC45"/>
    </row>
    <row r="46" spans="1:34" x14ac:dyDescent="0.3">
      <c r="B46" s="7"/>
      <c r="C46" s="7"/>
      <c r="D46" s="7"/>
      <c r="E46" s="7"/>
      <c r="H46" s="7"/>
      <c r="I46" s="7"/>
      <c r="J46" s="7"/>
      <c r="AC46"/>
    </row>
    <row r="47" spans="1:34" x14ac:dyDescent="0.3">
      <c r="B47" s="7"/>
      <c r="C47" s="7"/>
      <c r="D47" s="7"/>
      <c r="E47" s="7"/>
      <c r="H47" s="7"/>
      <c r="I47" s="7"/>
      <c r="J47" s="7"/>
      <c r="AC47"/>
    </row>
    <row r="48" spans="1:34" x14ac:dyDescent="0.3">
      <c r="B48" s="7"/>
      <c r="C48" s="7"/>
      <c r="D48" s="7"/>
      <c r="E48" s="7"/>
      <c r="H48" s="7"/>
      <c r="I48" s="7"/>
      <c r="J48" s="7"/>
      <c r="AC48"/>
    </row>
    <row r="49" spans="2:29" x14ac:dyDescent="0.3">
      <c r="B49" s="7"/>
      <c r="C49" s="7"/>
      <c r="D49" s="7"/>
      <c r="E49" s="7"/>
      <c r="H49" s="7"/>
      <c r="I49" s="7"/>
      <c r="J49" s="7"/>
      <c r="AC49"/>
    </row>
    <row r="50" spans="2:29" x14ac:dyDescent="0.3">
      <c r="B50" s="7"/>
      <c r="C50" s="7"/>
      <c r="D50" s="7"/>
      <c r="E50" s="7"/>
      <c r="H50" s="7"/>
      <c r="I50" s="7"/>
      <c r="J50" s="7"/>
      <c r="AC50"/>
    </row>
    <row r="51" spans="2:29" x14ac:dyDescent="0.3">
      <c r="B51" s="7"/>
      <c r="C51" s="7"/>
      <c r="D51" s="7"/>
      <c r="E51" s="7"/>
      <c r="H51" s="7"/>
      <c r="I51" s="7"/>
      <c r="J51" s="7"/>
      <c r="AC51"/>
    </row>
    <row r="52" spans="2:29" x14ac:dyDescent="0.3">
      <c r="B52" s="7"/>
      <c r="C52" s="7"/>
      <c r="D52" s="7"/>
      <c r="E52" s="7"/>
      <c r="H52" s="7"/>
      <c r="I52" s="7"/>
      <c r="J52" s="7"/>
      <c r="AC52"/>
    </row>
    <row r="53" spans="2:29" x14ac:dyDescent="0.3">
      <c r="B53" s="7"/>
      <c r="C53" s="7"/>
      <c r="D53" s="7"/>
      <c r="E53" s="7"/>
      <c r="H53" s="7"/>
      <c r="I53" s="7"/>
      <c r="J53" s="7"/>
      <c r="AC53"/>
    </row>
    <row r="54" spans="2:29" x14ac:dyDescent="0.3">
      <c r="B54" s="7"/>
      <c r="C54" s="7"/>
      <c r="D54" s="7"/>
      <c r="E54" s="7"/>
      <c r="H54" s="7"/>
      <c r="I54" s="7"/>
      <c r="J54" s="7"/>
      <c r="AC54"/>
    </row>
    <row r="55" spans="2:29" x14ac:dyDescent="0.3">
      <c r="B55" s="7"/>
      <c r="C55" s="7"/>
      <c r="D55" s="7"/>
      <c r="E55" s="7"/>
      <c r="H55" s="7"/>
      <c r="I55" s="7"/>
      <c r="J55" s="7"/>
      <c r="AC55"/>
    </row>
    <row r="56" spans="2:29" x14ac:dyDescent="0.3">
      <c r="B56" s="7"/>
      <c r="C56" s="7"/>
      <c r="D56" s="7"/>
      <c r="E56" s="7"/>
      <c r="H56" s="7"/>
      <c r="I56" s="7"/>
      <c r="J56" s="7"/>
      <c r="AC56"/>
    </row>
    <row r="57" spans="2:29" x14ac:dyDescent="0.3">
      <c r="AC57"/>
    </row>
    <row r="58" spans="2:29" x14ac:dyDescent="0.3">
      <c r="AC58"/>
    </row>
    <row r="59" spans="2:29" x14ac:dyDescent="0.3">
      <c r="AC59"/>
    </row>
    <row r="60" spans="2:29" x14ac:dyDescent="0.3">
      <c r="AC60"/>
    </row>
    <row r="61" spans="2:29" x14ac:dyDescent="0.3">
      <c r="AC61"/>
    </row>
    <row r="62" spans="2:29" x14ac:dyDescent="0.3">
      <c r="AC62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8"/>
  </sheetPr>
  <dimension ref="A1:BB149"/>
  <sheetViews>
    <sheetView showGridLines="0" tabSelected="1" workbookViewId="0">
      <pane xSplit="1" ySplit="2" topLeftCell="O3" activePane="bottomRight" state="frozen"/>
      <selection activeCell="A17" sqref="A17"/>
      <selection pane="topRight" activeCell="A17" sqref="A17"/>
      <selection pane="bottomLeft" activeCell="A17" sqref="A17"/>
      <selection pane="bottomRight" activeCell="AA11" sqref="AA11"/>
    </sheetView>
  </sheetViews>
  <sheetFormatPr defaultColWidth="9.33203125" defaultRowHeight="14.4" x14ac:dyDescent="0.3"/>
  <cols>
    <col min="1" max="1" width="68.6640625" style="2" customWidth="1"/>
    <col min="2" max="10" width="11.44140625" style="2" customWidth="1"/>
    <col min="11" max="12" width="9.33203125" style="2"/>
    <col min="13" max="13" width="9.33203125" style="2" customWidth="1"/>
    <col min="14" max="14" width="9.33203125" style="2"/>
    <col min="15" max="15" width="9.33203125" style="2" customWidth="1"/>
    <col min="16" max="16384" width="9.33203125" style="2"/>
  </cols>
  <sheetData>
    <row r="1" spans="1:54" x14ac:dyDescent="0.3">
      <c r="A1" s="76" t="str">
        <f>HLOOKUP(Chosen,Hide!$A$9:$C$11, 2, FALSE)</f>
        <v>SPIS TREŚCI</v>
      </c>
    </row>
    <row r="2" spans="1:54" s="32" customFormat="1" x14ac:dyDescent="0.3">
      <c r="A2" s="90" t="str">
        <f>HLOOKUP(Chosen,Hide!$A$64:$C$99, 36, FALSE)</f>
        <v>tys. PLN</v>
      </c>
      <c r="B2" s="57">
        <v>2016</v>
      </c>
      <c r="C2" s="33" t="s">
        <v>15</v>
      </c>
      <c r="D2" s="33" t="s">
        <v>323</v>
      </c>
      <c r="E2" s="33" t="s">
        <v>324</v>
      </c>
      <c r="F2" s="57">
        <v>2017</v>
      </c>
      <c r="G2" s="33" t="s">
        <v>328</v>
      </c>
      <c r="H2" s="33" t="s">
        <v>342</v>
      </c>
      <c r="I2" s="33" t="s">
        <v>350</v>
      </c>
      <c r="J2" s="57">
        <v>2018</v>
      </c>
      <c r="K2" s="33" t="s">
        <v>361</v>
      </c>
      <c r="L2" s="33" t="s">
        <v>365</v>
      </c>
      <c r="M2" s="33" t="s">
        <v>366</v>
      </c>
      <c r="N2" s="57">
        <v>2019</v>
      </c>
      <c r="O2" s="33" t="s">
        <v>386</v>
      </c>
      <c r="P2" s="33" t="s">
        <v>392</v>
      </c>
      <c r="Q2" s="33" t="s">
        <v>402</v>
      </c>
      <c r="R2" s="57">
        <v>2020</v>
      </c>
      <c r="S2" s="33" t="s">
        <v>409</v>
      </c>
      <c r="T2" s="33" t="s">
        <v>416</v>
      </c>
      <c r="U2" s="33" t="s">
        <v>420</v>
      </c>
    </row>
    <row r="3" spans="1:54" x14ac:dyDescent="0.3">
      <c r="A3" s="49" t="str">
        <f>HLOOKUP(Chosen,Hide!$A$101:$C$153, 2, 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6" customFormat="1" x14ac:dyDescent="0.3">
      <c r="A4" s="50" t="str">
        <f>HLOOKUP(Chosen,Hide!$A$101:$C$153, 3, FALSE)</f>
        <v>Zysk/(strata) netto za okres sprawozdawczy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8455.5421579653503</v>
      </c>
      <c r="I4" s="5">
        <v>10878</v>
      </c>
      <c r="J4" s="5">
        <v>18948.088216952769</v>
      </c>
      <c r="K4" s="5">
        <v>4907.25059987442</v>
      </c>
      <c r="L4" s="5">
        <v>5528.4599999999991</v>
      </c>
      <c r="M4" s="5">
        <v>3903.9932095334352</v>
      </c>
      <c r="N4" s="5">
        <v>-299.04574111337024</v>
      </c>
      <c r="O4" s="5">
        <v>-6934.6156975246804</v>
      </c>
      <c r="P4" s="5">
        <v>-11438.001782339801</v>
      </c>
      <c r="Q4" s="130">
        <v>-18969.218694770414</v>
      </c>
      <c r="R4" s="5">
        <v>-27676.025022371599</v>
      </c>
      <c r="S4" s="5">
        <v>-1013.0372707623612</v>
      </c>
      <c r="T4" s="5">
        <v>-2863.8999038256402</v>
      </c>
      <c r="U4" s="130">
        <v>-4219.3333479831253</v>
      </c>
      <c r="V4" s="5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x14ac:dyDescent="0.3">
      <c r="A5" s="51" t="str">
        <f>HLOOKUP(Chosen,Hide!$A$101:$C$153, 4, FALSE)</f>
        <v>Amortyzacja rzeczowych aktywów trwałych</v>
      </c>
      <c r="B5" s="7">
        <v>2932</v>
      </c>
      <c r="C5" s="7">
        <v>1463</v>
      </c>
      <c r="D5" s="7">
        <v>2888</v>
      </c>
      <c r="E5" s="7">
        <v>4254.8454924058096</v>
      </c>
      <c r="F5" s="7">
        <v>5481</v>
      </c>
      <c r="G5" s="7">
        <v>1111</v>
      </c>
      <c r="H5" s="7">
        <v>2272.9786229906699</v>
      </c>
      <c r="I5" s="7">
        <v>3506</v>
      </c>
      <c r="J5" s="7">
        <v>4969.2134354129848</v>
      </c>
      <c r="K5" s="7">
        <v>2385.5051070887712</v>
      </c>
      <c r="L5" s="7">
        <v>4818.5484507727997</v>
      </c>
      <c r="M5" s="7">
        <v>8012.6329761215402</v>
      </c>
      <c r="N5" s="7">
        <v>11060.96268955963</v>
      </c>
      <c r="O5" s="7">
        <v>2164.4930738602916</v>
      </c>
      <c r="P5" s="7">
        <v>4221.9982246792442</v>
      </c>
      <c r="Q5" s="131">
        <v>6196.2685197758674</v>
      </c>
      <c r="R5" s="7">
        <v>8157.2513012894597</v>
      </c>
      <c r="S5" s="7">
        <v>2051.246141656351</v>
      </c>
      <c r="T5" s="7">
        <v>5556.8167162785476</v>
      </c>
      <c r="U5" s="131">
        <v>6294.7122399816562</v>
      </c>
      <c r="V5" s="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x14ac:dyDescent="0.3">
      <c r="A6" s="51" t="str">
        <f>HLOOKUP(Chosen,Hide!$A$101:$C$153, 5, FALSE)</f>
        <v>Amortyzacja wartości niematerialnych</v>
      </c>
      <c r="B6" s="7">
        <v>1662</v>
      </c>
      <c r="C6" s="7">
        <v>1963</v>
      </c>
      <c r="D6" s="7">
        <v>3751</v>
      </c>
      <c r="E6" s="7">
        <v>5381.0193851125496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6609.5998262680141</v>
      </c>
      <c r="K6" s="7">
        <v>1801.1597123740876</v>
      </c>
      <c r="L6" s="7">
        <v>3781.333685435025</v>
      </c>
      <c r="M6" s="7">
        <v>5736.4852146175635</v>
      </c>
      <c r="N6" s="7">
        <v>7655.9749698522746</v>
      </c>
      <c r="O6" s="7">
        <v>1884.1333124995003</v>
      </c>
      <c r="P6" s="7">
        <v>3876.1317839737253</v>
      </c>
      <c r="Q6" s="131">
        <v>5703.2755636607744</v>
      </c>
      <c r="R6" s="7">
        <v>7738.6943888366877</v>
      </c>
      <c r="S6" s="7">
        <v>2196.1160865471129</v>
      </c>
      <c r="T6" s="7">
        <v>2843.8799265471125</v>
      </c>
      <c r="U6" s="131">
        <v>6489.2582596413376</v>
      </c>
      <c r="V6" s="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x14ac:dyDescent="0.3">
      <c r="A7" s="51" t="str">
        <f>HLOOKUP(Chosen,Hide!$A$101:$C$153, 6, FALSE)</f>
        <v>Podatek dochodowy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777.56201531210445</v>
      </c>
      <c r="L7" s="7">
        <v>367.41072376060026</v>
      </c>
      <c r="M7" s="7">
        <v>353.37425056271229</v>
      </c>
      <c r="N7" s="7">
        <v>-2076.317463291186</v>
      </c>
      <c r="O7" s="7">
        <v>-18.054680552588444</v>
      </c>
      <c r="P7" s="7">
        <v>-3233.9825681438715</v>
      </c>
      <c r="Q7" s="131">
        <v>-7342.4485757350203</v>
      </c>
      <c r="R7" s="7">
        <v>-12207.917411006687</v>
      </c>
      <c r="S7" s="7">
        <v>-1554.6176832337146</v>
      </c>
      <c r="T7" s="7">
        <v>-5609.2506596760068</v>
      </c>
      <c r="U7" s="131">
        <v>-7520.2023643141747</v>
      </c>
      <c r="V7" s="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x14ac:dyDescent="0.3">
      <c r="A8" s="51" t="str">
        <f>HLOOKUP(Chosen,Hide!$A$101:$C$153, 7, FALSE)</f>
        <v>Zmiana stanu zapasów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31">
        <v>0</v>
      </c>
      <c r="R8" s="7">
        <v>0</v>
      </c>
      <c r="S8" s="7">
        <v>0</v>
      </c>
      <c r="T8" s="7">
        <v>0</v>
      </c>
      <c r="U8" s="131">
        <v>0</v>
      </c>
      <c r="V8" s="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x14ac:dyDescent="0.3">
      <c r="A9" s="51" t="str">
        <f>HLOOKUP(Chosen,Hide!$A$101:$C$153, 8, FALSE)</f>
        <v>Zmiana stanu należności z tytułu dostaw i usług oraz pozostałych</v>
      </c>
      <c r="B9" s="7">
        <v>-16033</v>
      </c>
      <c r="C9" s="7">
        <v>-629</v>
      </c>
      <c r="D9" s="7">
        <v>-4721</v>
      </c>
      <c r="E9" s="7">
        <v>-4429.9534823249987</v>
      </c>
      <c r="F9" s="7">
        <v>-5725</v>
      </c>
      <c r="G9" s="7">
        <v>-4079</v>
      </c>
      <c r="H9" s="7">
        <v>-2132.5154809999999</v>
      </c>
      <c r="I9" s="7">
        <v>4660</v>
      </c>
      <c r="J9" s="7">
        <v>633.20000000000005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>
        <v>1733.0362096279853</v>
      </c>
      <c r="Q9" s="131">
        <v>2572.450302220469</v>
      </c>
      <c r="R9" s="7">
        <v>6104.053597289776</v>
      </c>
      <c r="S9" s="7">
        <v>-8519.2288876172788</v>
      </c>
      <c r="T9" s="7">
        <v>-6484.3526457916532</v>
      </c>
      <c r="U9" s="160">
        <v>-6237.2289046411488</v>
      </c>
      <c r="V9" s="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x14ac:dyDescent="0.3">
      <c r="A10" s="51" t="str">
        <f>HLOOKUP(Chosen,Hide!$A$101:$C$153, 9, FALSE)</f>
        <v>Zmiana stanu rozliczeń międzyokresowych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951.67851999999993</v>
      </c>
      <c r="K10" s="7">
        <v>-372.68389373599973</v>
      </c>
      <c r="L10" s="7">
        <v>346.97461261499927</v>
      </c>
      <c r="M10" s="7">
        <v>-252.40589416100028</v>
      </c>
      <c r="N10" s="7">
        <v>-64.078895311998735</v>
      </c>
      <c r="O10" s="7">
        <v>451.22903451299862</v>
      </c>
      <c r="P10" s="7">
        <v>11519.137788601001</v>
      </c>
      <c r="Q10" s="131">
        <v>11784.941064488999</v>
      </c>
      <c r="R10" s="7">
        <v>11107.930121826999</v>
      </c>
      <c r="S10" s="7">
        <v>866.56120236400227</v>
      </c>
      <c r="T10" s="7">
        <v>-322.73610937300259</v>
      </c>
      <c r="U10" s="160">
        <v>246.26798848200201</v>
      </c>
      <c r="V10" s="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x14ac:dyDescent="0.3">
      <c r="A11" s="51" t="str">
        <f>HLOOKUP(Chosen,Hide!$A$101:$C$153, 10, FALSE)</f>
        <v>Zmiana stanu zobowiązań z tytułu dostaw i usług oraz pozostałych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-2197.0853052140769</v>
      </c>
      <c r="M11" s="7">
        <v>-1140.9475771821703</v>
      </c>
      <c r="N11" s="7">
        <v>-1287.5086236774594</v>
      </c>
      <c r="O11" s="7">
        <v>3082.619458420877</v>
      </c>
      <c r="P11" s="7">
        <v>2562.0618349044521</v>
      </c>
      <c r="Q11" s="131">
        <v>3370.1272231178664</v>
      </c>
      <c r="R11" s="7">
        <v>2300.4795992516219</v>
      </c>
      <c r="S11" s="7">
        <v>2729.8691727874684</v>
      </c>
      <c r="T11" s="7">
        <v>2523.9602182443782</v>
      </c>
      <c r="U11" s="160">
        <v>4499</v>
      </c>
      <c r="V11" s="5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x14ac:dyDescent="0.3">
      <c r="A12" s="51" t="str">
        <f>HLOOKUP(Chosen,Hide!$A$101:$C$153, 11, FALSE)</f>
        <v>Zmiana stanu zobowiązań finansowych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3" t="s">
        <v>114</v>
      </c>
      <c r="R12" s="7">
        <v>0</v>
      </c>
      <c r="S12" s="7">
        <v>0</v>
      </c>
      <c r="T12" s="7">
        <v>-12082.296498</v>
      </c>
      <c r="U12" s="114">
        <v>-12082.296498</v>
      </c>
      <c r="V12" s="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x14ac:dyDescent="0.3">
      <c r="A13" s="51" t="str">
        <f>HLOOKUP(Chosen,Hide!$A$101:$C$153, 12, FALSE)</f>
        <v>Zmiana stanu aktywów finansowych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4" t="s">
        <v>114</v>
      </c>
      <c r="R13" s="7">
        <v>0</v>
      </c>
      <c r="S13" s="7">
        <v>0</v>
      </c>
      <c r="T13" s="7">
        <v>0</v>
      </c>
      <c r="U13" s="161">
        <v>0</v>
      </c>
      <c r="V13" s="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x14ac:dyDescent="0.3">
      <c r="A14" s="51" t="str">
        <f>HLOOKUP(Chosen,Hide!$A$101:$C$153, 13, FALSE)</f>
        <v>Zmiana stanu rezerw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537.47817686300004</v>
      </c>
      <c r="K14" s="7">
        <v>311.67138926799998</v>
      </c>
      <c r="L14" s="7">
        <v>445.41374906799956</v>
      </c>
      <c r="M14" s="7">
        <v>389.82445226800019</v>
      </c>
      <c r="N14" s="7">
        <v>233.41614101300001</v>
      </c>
      <c r="O14" s="7">
        <v>457.55766632299992</v>
      </c>
      <c r="P14" s="7">
        <v>933.09649387499985</v>
      </c>
      <c r="Q14" s="131">
        <v>1051.1367269030002</v>
      </c>
      <c r="R14" s="7">
        <v>949.9013441990005</v>
      </c>
      <c r="S14" s="7">
        <v>647.75332752399981</v>
      </c>
      <c r="T14" s="7">
        <v>895.34715906099973</v>
      </c>
      <c r="U14" s="160">
        <v>762</v>
      </c>
      <c r="V14" s="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x14ac:dyDescent="0.3">
      <c r="A15" s="52" t="str">
        <f>HLOOKUP(Chosen,Hide!$A$101:$C$153, 14, FALSE)</f>
        <v>Wycena programu motywacyjnego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>
        <v>0</v>
      </c>
      <c r="Q15" s="131">
        <v>0</v>
      </c>
      <c r="R15" s="7">
        <v>0</v>
      </c>
      <c r="S15" s="7">
        <v>0</v>
      </c>
      <c r="T15" s="7">
        <v>0</v>
      </c>
      <c r="U15" s="131">
        <v>0</v>
      </c>
      <c r="V15" s="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x14ac:dyDescent="0.3">
      <c r="A16" s="52" t="str">
        <f>HLOOKUP(Chosen,Hide!$A$101:$C$153, 15, FALSE)</f>
        <v>Zmiana stanu aktywów i pasywów w związku z nabyciem jednostek zależnych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31">
        <v>0</v>
      </c>
      <c r="R16" s="7">
        <v>0</v>
      </c>
      <c r="S16" s="7">
        <v>0</v>
      </c>
      <c r="T16" s="7">
        <v>0</v>
      </c>
      <c r="U16" s="131">
        <v>0</v>
      </c>
      <c r="V16" s="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4" x14ac:dyDescent="0.3">
      <c r="A17" s="150" t="s">
        <v>404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3108</v>
      </c>
      <c r="S17" s="7">
        <v>0</v>
      </c>
      <c r="T17" s="7">
        <v>6335.8</v>
      </c>
      <c r="U17" s="7">
        <v>6650.4074595889197</v>
      </c>
      <c r="V17" s="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4" x14ac:dyDescent="0.3">
      <c r="A18" s="116" t="s">
        <v>382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178.02223999999956</v>
      </c>
      <c r="N18" s="7">
        <v>0</v>
      </c>
      <c r="O18" s="7">
        <v>25.134118307999998</v>
      </c>
      <c r="P18" s="7">
        <v>24.127929228000013</v>
      </c>
      <c r="Q18" s="148">
        <f>[3]CF!$C$16</f>
        <v>23.43208280399999</v>
      </c>
      <c r="R18" s="7">
        <v>0</v>
      </c>
      <c r="S18" s="7">
        <v>0</v>
      </c>
      <c r="T18" s="7">
        <v>0</v>
      </c>
      <c r="U18" s="148">
        <v>0</v>
      </c>
      <c r="V18" s="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4" x14ac:dyDescent="0.3">
      <c r="A19" s="51" t="str">
        <f>HLOOKUP(Chosen,Hide!$A$101:$C$153, 17, FALSE)</f>
        <v>(Zysk)/strata ze sprzedaży inwestycji</v>
      </c>
      <c r="B19" s="7">
        <v>-215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186.16052346400011</v>
      </c>
      <c r="O19" s="7">
        <v>0</v>
      </c>
      <c r="P19" s="7">
        <v>0</v>
      </c>
      <c r="Q19" s="131">
        <v>0</v>
      </c>
      <c r="R19" s="7">
        <v>24.781090592000012</v>
      </c>
      <c r="S19" s="7">
        <v>0</v>
      </c>
      <c r="T19" s="7">
        <v>0</v>
      </c>
      <c r="U19" s="131">
        <v>111</v>
      </c>
      <c r="V19" s="5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4" x14ac:dyDescent="0.3">
      <c r="A20" s="52" t="str">
        <f>HLOOKUP(Chosen,Hide!$A$101:$C$153, 20, FALSE)</f>
        <v>(Przychody)/Koszty finansowe netto</v>
      </c>
      <c r="B20" s="7">
        <v>0</v>
      </c>
      <c r="C20" s="7">
        <v>0</v>
      </c>
      <c r="D20" s="7">
        <v>-98</v>
      </c>
      <c r="E20" s="7">
        <v>-2.0891099999997778</v>
      </c>
      <c r="F20" s="7">
        <v>82</v>
      </c>
      <c r="G20" s="7">
        <v>-177</v>
      </c>
      <c r="H20" s="7">
        <v>82.448459999998917</v>
      </c>
      <c r="I20" s="7">
        <v>50</v>
      </c>
      <c r="J20" s="7">
        <v>332.67756999999938</v>
      </c>
      <c r="K20" s="7">
        <v>22.21</v>
      </c>
      <c r="L20" s="7">
        <v>178.90125000000006</v>
      </c>
      <c r="M20" s="7">
        <v>178.90125000000006</v>
      </c>
      <c r="N20" s="7">
        <v>178.90125000000006</v>
      </c>
      <c r="O20" s="7">
        <v>0</v>
      </c>
      <c r="P20" s="7">
        <v>0</v>
      </c>
      <c r="Q20" s="131">
        <v>0</v>
      </c>
      <c r="R20" s="7">
        <v>0</v>
      </c>
      <c r="S20" s="7">
        <v>0</v>
      </c>
      <c r="T20" s="7">
        <v>0</v>
      </c>
      <c r="U20" s="131">
        <v>0</v>
      </c>
      <c r="V20" s="5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4" x14ac:dyDescent="0.3">
      <c r="A21" s="51" t="str">
        <f>HLOOKUP(Chosen,Hide!$A$101:$C$153, 21, FALSE)</f>
        <v>Podatek zapłacony</v>
      </c>
      <c r="B21" s="7">
        <v>-3272</v>
      </c>
      <c r="C21" s="7">
        <v>-2234</v>
      </c>
      <c r="D21" s="7">
        <v>-2447</v>
      </c>
      <c r="E21" s="7">
        <v>-3261.6900000000005</v>
      </c>
      <c r="F21" s="7">
        <v>-3608</v>
      </c>
      <c r="G21" s="7">
        <v>-545</v>
      </c>
      <c r="H21" s="7">
        <v>-780.44974416666685</v>
      </c>
      <c r="I21" s="7">
        <v>-1323</v>
      </c>
      <c r="J21" s="7">
        <v>-1338.1111358000001</v>
      </c>
      <c r="K21" s="7">
        <v>-581.66899999999998</v>
      </c>
      <c r="L21" s="7">
        <v>-1008.0971999999999</v>
      </c>
      <c r="M21" s="7">
        <v>-1544.44</v>
      </c>
      <c r="N21" s="7">
        <v>-2466.9861350000001</v>
      </c>
      <c r="O21" s="7">
        <v>-390.61599999999999</v>
      </c>
      <c r="P21" s="7">
        <v>-635.77716840000005</v>
      </c>
      <c r="Q21" s="131">
        <v>-469.34307240000004</v>
      </c>
      <c r="R21" s="131">
        <v>-811.09320549999995</v>
      </c>
      <c r="S21" s="7">
        <v>0</v>
      </c>
      <c r="T21" s="7">
        <v>2232.3917059</v>
      </c>
      <c r="U21" s="131">
        <v>2220.6255109000003</v>
      </c>
      <c r="V21" s="5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4" x14ac:dyDescent="0.3">
      <c r="A22" s="51" t="str">
        <f>HLOOKUP(Chosen,Hide!$A$101:$C$153, 19, FALSE)</f>
        <v>Różnice kursowe</v>
      </c>
      <c r="B22" s="7">
        <v>0</v>
      </c>
      <c r="C22" s="7">
        <v>3444</v>
      </c>
      <c r="D22" s="7">
        <v>-170</v>
      </c>
      <c r="E22" s="7">
        <v>-476.73260939899387</v>
      </c>
      <c r="F22" s="7">
        <v>-863</v>
      </c>
      <c r="G22" s="7">
        <v>-464</v>
      </c>
      <c r="H22" s="7">
        <v>1748.3676910075055</v>
      </c>
      <c r="I22" s="7">
        <v>1022</v>
      </c>
      <c r="J22" s="7">
        <v>2219.7645021372491</v>
      </c>
      <c r="K22" s="7">
        <v>876.5507529999993</v>
      </c>
      <c r="L22" s="7">
        <v>-364.87178951406599</v>
      </c>
      <c r="M22" s="7">
        <v>628.77930430000015</v>
      </c>
      <c r="N22" s="7">
        <v>20.551545199999651</v>
      </c>
      <c r="O22" s="7">
        <v>-356.62013170909017</v>
      </c>
      <c r="P22" s="7">
        <v>-181.00042900644587</v>
      </c>
      <c r="Q22" s="131">
        <v>456.62546081236326</v>
      </c>
      <c r="R22" s="131">
        <v>152.30085198681684</v>
      </c>
      <c r="S22" s="131">
        <v>-1940.7674775461953</v>
      </c>
      <c r="T22" s="7">
        <v>-2130.6059862068751</v>
      </c>
      <c r="U22" s="131">
        <v>-3056.0356731449929</v>
      </c>
      <c r="V22" s="5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4" x14ac:dyDescent="0.3">
      <c r="A23" s="51" t="str">
        <f>HLOOKUP(Chosen,Hide!$A$101:$C$154, 54, FALSE)</f>
        <v>Odsetki</v>
      </c>
      <c r="B23" s="7">
        <v>3287</v>
      </c>
      <c r="C23" s="7">
        <v>0</v>
      </c>
      <c r="D23" s="7">
        <v>1926</v>
      </c>
      <c r="E23" s="7">
        <v>2834.4403423999997</v>
      </c>
      <c r="F23" s="7">
        <v>3940</v>
      </c>
      <c r="G23" s="7">
        <v>922</v>
      </c>
      <c r="H23" s="7">
        <v>1801.8657247550004</v>
      </c>
      <c r="I23" s="7">
        <v>2690</v>
      </c>
      <c r="J23" s="7">
        <v>3581.8128041999998</v>
      </c>
      <c r="K23" s="7">
        <v>983.60087833256034</v>
      </c>
      <c r="L23" s="7">
        <v>1431.6549435445631</v>
      </c>
      <c r="M23" s="7">
        <v>1655.4993844000001</v>
      </c>
      <c r="N23" s="7">
        <v>2056.6473259999998</v>
      </c>
      <c r="O23" s="7">
        <v>284.52062032534093</v>
      </c>
      <c r="P23" s="7">
        <v>684.27448532534083</v>
      </c>
      <c r="Q23" s="131">
        <v>752.61196461865063</v>
      </c>
      <c r="R23" s="131">
        <v>866.09225724413841</v>
      </c>
      <c r="S23" s="131">
        <v>273.51103846336605</v>
      </c>
      <c r="T23" s="7">
        <v>395.5890693779761</v>
      </c>
      <c r="U23" s="131">
        <v>531.91350903855948</v>
      </c>
      <c r="V23" s="5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4" x14ac:dyDescent="0.3">
      <c r="A24" s="51" t="s">
        <v>393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-4178.9923272610004</v>
      </c>
      <c r="Q24" s="131">
        <v>-4087.8331650393329</v>
      </c>
      <c r="R24" s="131">
        <v>-4057.5208673037505</v>
      </c>
      <c r="S24" s="7">
        <v>0</v>
      </c>
      <c r="T24" s="7">
        <v>0</v>
      </c>
      <c r="U24" s="131">
        <v>0</v>
      </c>
      <c r="V24" s="5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4" x14ac:dyDescent="0.3">
      <c r="A25" s="51" t="str">
        <f>HLOOKUP(Chosen,Hide!$A$101:$C$153, 23, FALSE)</f>
        <v xml:space="preserve">Pozostałe </v>
      </c>
      <c r="B25" s="7">
        <v>-183</v>
      </c>
      <c r="C25" s="7">
        <v>240</v>
      </c>
      <c r="D25" s="7">
        <v>-209</v>
      </c>
      <c r="E25" s="7">
        <v>36.72</v>
      </c>
      <c r="F25" s="7">
        <v>140</v>
      </c>
      <c r="G25" s="7">
        <v>-3</v>
      </c>
      <c r="H25" s="7">
        <v>57</v>
      </c>
      <c r="I25" s="7">
        <v>79</v>
      </c>
      <c r="J25" s="7">
        <v>73.475205530098393</v>
      </c>
      <c r="K25" s="7">
        <v>-65.479290924517969</v>
      </c>
      <c r="L25" s="7">
        <v>14.91560907548207</v>
      </c>
      <c r="M25" s="7">
        <v>-2.0351209245179831</v>
      </c>
      <c r="N25" s="7">
        <v>-36.333490924518003</v>
      </c>
      <c r="O25" s="7">
        <v>63.51279000000001</v>
      </c>
      <c r="P25" s="7">
        <v>144.50558000000024</v>
      </c>
      <c r="Q25" s="131">
        <v>321.39837000000011</v>
      </c>
      <c r="R25" s="131">
        <v>288.49116000000049</v>
      </c>
      <c r="S25" s="131">
        <v>-18.637209999999826</v>
      </c>
      <c r="T25" s="7">
        <v>31.585579999999709</v>
      </c>
      <c r="U25" s="131">
        <v>308.3073799999998</v>
      </c>
      <c r="V25" s="5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4" s="6" customFormat="1" x14ac:dyDescent="0.3">
      <c r="A26" s="50"/>
      <c r="B26" s="8">
        <v>35477</v>
      </c>
      <c r="C26" s="8">
        <v>3112</v>
      </c>
      <c r="D26" s="8">
        <v>3279</v>
      </c>
      <c r="E26" s="8">
        <v>16947.863846723274</v>
      </c>
      <c r="F26" s="8">
        <v>28611</v>
      </c>
      <c r="G26" s="8">
        <v>4225</v>
      </c>
      <c r="H26" s="8">
        <v>21838.508408785357</v>
      </c>
      <c r="I26" s="8">
        <v>33110</v>
      </c>
      <c r="J26" s="8">
        <v>44231.676206899661</v>
      </c>
      <c r="K26" s="8">
        <v>9070.5001512435902</v>
      </c>
      <c r="L26" s="8">
        <v>13916.098729543326</v>
      </c>
      <c r="M26" s="8">
        <v>16408.509689535564</v>
      </c>
      <c r="N26" s="8">
        <v>13498.84357817037</v>
      </c>
      <c r="O26" s="8">
        <v>-2108.6690661168936</v>
      </c>
      <c r="P26" s="8">
        <v>6030.3560550636284</v>
      </c>
      <c r="Q26" s="132">
        <v>1363.0237704572253</v>
      </c>
      <c r="R26" s="132">
        <v>-3955.5807936655319</v>
      </c>
      <c r="S26" s="132">
        <v>-4281.2315598172481</v>
      </c>
      <c r="T26" s="132">
        <v>-8677.3104274641664</v>
      </c>
      <c r="U26" s="132">
        <v>-5001.998418340856</v>
      </c>
      <c r="V26" s="5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4" x14ac:dyDescent="0.3">
      <c r="A27" s="50" t="str">
        <f>HLOOKUP(Chosen,Hide!$A$101:$C$153, 25, 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x14ac:dyDescent="0.3">
      <c r="A28" s="51" t="str">
        <f>HLOOKUP(Chosen,Hide!$A$101:$C$153, 26, FALSE)</f>
        <v>Wpływy ze sprzedaży inwestycji</v>
      </c>
      <c r="B28" s="7">
        <v>19520</v>
      </c>
      <c r="C28" s="7">
        <v>0</v>
      </c>
      <c r="D28" s="7">
        <v>11797</v>
      </c>
      <c r="E28" s="7">
        <v>11796.637500000001</v>
      </c>
      <c r="F28" s="7">
        <v>15885</v>
      </c>
      <c r="G28" s="7">
        <v>0</v>
      </c>
      <c r="H28" s="7">
        <v>0</v>
      </c>
      <c r="I28" s="7">
        <v>0</v>
      </c>
      <c r="J28" s="7">
        <v>8660.8803000000007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37.89</v>
      </c>
      <c r="U28" s="7">
        <v>37.89</v>
      </c>
      <c r="V28" s="5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x14ac:dyDescent="0.3">
      <c r="A29" s="51" t="str">
        <f>HLOOKUP(Chosen,Hide!$A$101:$C$153, 28, FALSE)</f>
        <v>Nabycie jednostek zależnych</v>
      </c>
      <c r="B29" s="7">
        <v>-97143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-167.13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5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x14ac:dyDescent="0.3">
      <c r="A30" s="51" t="str">
        <f>HLOOKUP(Chosen,Hide!$A$101:$C$153, 29, FALSE)</f>
        <v>Udzielone pożyczki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5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x14ac:dyDescent="0.3">
      <c r="A31" s="52" t="str">
        <f>HLOOKUP(Chosen,Hide!$A$101:$C$153, 30, FALSE)</f>
        <v>Środki pieniężne przejęte w wyniku nabycia udziałów w  Medi-Lynx</v>
      </c>
      <c r="B31" s="7">
        <v>5409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5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x14ac:dyDescent="0.3">
      <c r="A32" s="60" t="str">
        <f>HLOOKUP(Chosen,Hide!$A$101:$C$153, 31, FALSE)</f>
        <v>(Nabycie)/sprzedaż wartości niematerialnych</v>
      </c>
      <c r="B32" s="7">
        <v>-3108</v>
      </c>
      <c r="C32" s="7">
        <v>-37004</v>
      </c>
      <c r="D32" s="7">
        <v>-33725</v>
      </c>
      <c r="E32" s="7">
        <v>-34745.429267500003</v>
      </c>
      <c r="F32" s="7">
        <v>-35652</v>
      </c>
      <c r="G32" s="7">
        <v>-1217</v>
      </c>
      <c r="H32" s="7">
        <v>-2285.2962299999999</v>
      </c>
      <c r="I32" s="7">
        <v>-3399</v>
      </c>
      <c r="J32" s="7">
        <v>-5050.2848299999996</v>
      </c>
      <c r="K32" s="7">
        <v>-1496.9703099999992</v>
      </c>
      <c r="L32" s="7">
        <v>-2764.4237041679994</v>
      </c>
      <c r="M32" s="7">
        <v>-3758.4060999999997</v>
      </c>
      <c r="N32" s="7">
        <v>-4923.3337892960026</v>
      </c>
      <c r="O32" s="7">
        <v>-1042.9192300000002</v>
      </c>
      <c r="P32" s="7">
        <v>-1947.1317400000003</v>
      </c>
      <c r="Q32" s="118">
        <f>[3]CF!$C$30</f>
        <v>-3172.6774</v>
      </c>
      <c r="R32" s="7">
        <v>-4590.3408900000013</v>
      </c>
      <c r="S32" s="7">
        <v>-1787.9646099999993</v>
      </c>
      <c r="T32" s="7">
        <v>-3246.8535599999996</v>
      </c>
      <c r="U32" s="118">
        <v>-4638.0721400000002</v>
      </c>
      <c r="V32" s="5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x14ac:dyDescent="0.3">
      <c r="A33" s="51" t="str">
        <f>HLOOKUP(Chosen,Hide!$A$101:$C$153, 32, FALSE)</f>
        <v>(Nabycie)/sprzedaż pozostałych inwestycji</v>
      </c>
      <c r="B33" s="7">
        <v>0</v>
      </c>
      <c r="C33" s="7">
        <v>0</v>
      </c>
      <c r="D33" s="7">
        <v>-40</v>
      </c>
      <c r="E33" s="7">
        <v>-40</v>
      </c>
      <c r="F33" s="7">
        <v>-80</v>
      </c>
      <c r="G33" s="7">
        <v>0</v>
      </c>
      <c r="H33" s="7">
        <v>4148.0595000000003</v>
      </c>
      <c r="I33" s="7">
        <v>-1253.9347835943245</v>
      </c>
      <c r="J33" s="7">
        <v>345.88147999999995</v>
      </c>
      <c r="K33" s="7">
        <v>-3509.942024558813</v>
      </c>
      <c r="L33" s="7">
        <v>5992.3850396825455</v>
      </c>
      <c r="M33" s="7">
        <v>5992.3850396825455</v>
      </c>
      <c r="N33" s="7">
        <f>127.086289682546+5825.29875</f>
        <v>5952.3850396825455</v>
      </c>
      <c r="O33" s="118">
        <v>0</v>
      </c>
      <c r="P33" s="118">
        <v>0</v>
      </c>
      <c r="Q33" s="118">
        <v>0</v>
      </c>
      <c r="R33" s="7">
        <v>0</v>
      </c>
      <c r="S33" s="7">
        <v>0</v>
      </c>
      <c r="T33" s="7">
        <v>0</v>
      </c>
      <c r="U33" s="118">
        <v>0</v>
      </c>
      <c r="V33" s="5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x14ac:dyDescent="0.3">
      <c r="A34" s="51" t="str">
        <f>HLOOKUP(Chosen,Hide!$A$101:$C$153, 34, FALSE)</f>
        <v>(Nabycie)/sprzedaż rzeczowych aktywów trwałych</v>
      </c>
      <c r="B34" s="7">
        <v>-5380</v>
      </c>
      <c r="C34" s="7">
        <v>-2906</v>
      </c>
      <c r="D34" s="7">
        <v>-2710</v>
      </c>
      <c r="E34" s="7">
        <v>-2383.5289930963668</v>
      </c>
      <c r="F34" s="7">
        <v>-2179</v>
      </c>
      <c r="G34" s="7">
        <v>183</v>
      </c>
      <c r="H34" s="7">
        <v>-331.59927471804758</v>
      </c>
      <c r="I34" s="7">
        <v>4149.6688100000001</v>
      </c>
      <c r="J34" s="7">
        <v>-1382.689623946153</v>
      </c>
      <c r="K34" s="7">
        <v>207.08628968254598</v>
      </c>
      <c r="L34" s="7">
        <v>-4299.8752379707876</v>
      </c>
      <c r="M34" s="7">
        <v>-4192.4856487857533</v>
      </c>
      <c r="N34" s="7">
        <v>-3822.0839092898923</v>
      </c>
      <c r="O34" s="7">
        <v>881.87581942866973</v>
      </c>
      <c r="P34" s="7">
        <v>533.98047750120793</v>
      </c>
      <c r="Q34" s="118">
        <f>[3]CF!$C$32</f>
        <v>592.59854945830944</v>
      </c>
      <c r="R34" s="7">
        <v>-415.08251094958746</v>
      </c>
      <c r="S34" s="7">
        <v>-976.30357359869322</v>
      </c>
      <c r="T34" s="7">
        <v>-1382.6675600000008</v>
      </c>
      <c r="U34" s="118">
        <v>-7490.8356597980728</v>
      </c>
      <c r="V34" s="5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x14ac:dyDescent="0.3">
      <c r="A35" s="51" t="str">
        <f>HLOOKUP(Chosen,Hide!$A$101:$C$153, 35, FALSE)</f>
        <v>Wpływy z tytułu sprzedaży rzeczowych aktywów trwałych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5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x14ac:dyDescent="0.3">
      <c r="A36" s="51" t="str">
        <f>HLOOKUP(Chosen,Hide!$A$101:$C$153, 36, FALSE)</f>
        <v>Inne wydatki (koszty przejęcia spółki zależnej)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6" customFormat="1" x14ac:dyDescent="0.3">
      <c r="A37" s="50"/>
      <c r="B37" s="8">
        <v>-80702</v>
      </c>
      <c r="C37" s="8">
        <v>-39910</v>
      </c>
      <c r="D37" s="8">
        <v>-24678</v>
      </c>
      <c r="E37" s="8">
        <v>-25372.320760596369</v>
      </c>
      <c r="F37" s="8">
        <v>-22026</v>
      </c>
      <c r="G37" s="8">
        <v>-1034</v>
      </c>
      <c r="H37" s="8">
        <v>1531.1639952819528</v>
      </c>
      <c r="I37" s="8">
        <v>-502.51779359432385</v>
      </c>
      <c r="J37" s="8">
        <v>2406.6573260538489</v>
      </c>
      <c r="K37" s="8">
        <v>-4799.8260448762667</v>
      </c>
      <c r="L37" s="8">
        <v>-1071.913902456241</v>
      </c>
      <c r="M37" s="8">
        <v>-1958.456709103207</v>
      </c>
      <c r="N37" s="8">
        <v>-2793.0326589033489</v>
      </c>
      <c r="O37" s="8">
        <v>-161.04341057133047</v>
      </c>
      <c r="P37" s="8">
        <v>-1413.1512624987922</v>
      </c>
      <c r="Q37" s="132">
        <v>-2580.0788505416904</v>
      </c>
      <c r="R37" s="132">
        <v>-5005.4234009495885</v>
      </c>
      <c r="S37" s="117">
        <f>SUM(S32:S34)</f>
        <v>-2764.2681835986923</v>
      </c>
      <c r="T37" s="117">
        <v>-4591.63112</v>
      </c>
      <c r="U37" s="132">
        <v>-12090.617799798074</v>
      </c>
      <c r="V37" s="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x14ac:dyDescent="0.3">
      <c r="A38" s="50" t="str">
        <f>HLOOKUP(Chosen,Hide!$A$101:$C$153, 38, FALSE)</f>
        <v>Przepływy pieniężne z działalności finansowej</v>
      </c>
      <c r="B38" s="7"/>
      <c r="Q38" s="7"/>
      <c r="R38" s="7"/>
      <c r="S38" s="7"/>
      <c r="T38" s="7"/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x14ac:dyDescent="0.3">
      <c r="A39" s="51" t="str">
        <f>HLOOKUP(Chosen,Hide!$A$101:$C$153, 39, FALSE)</f>
        <v>Wpływy z tytułu zaciągniętych kredytów</v>
      </c>
      <c r="B39" s="7">
        <v>0</v>
      </c>
      <c r="C39" s="7">
        <v>1234</v>
      </c>
      <c r="D39" s="7">
        <v>2513</v>
      </c>
      <c r="E39" s="7">
        <v>522.53</v>
      </c>
      <c r="F39" s="7">
        <v>804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13">
        <v>19000</v>
      </c>
      <c r="M39" s="113">
        <v>19000</v>
      </c>
      <c r="N39" s="7">
        <v>19000</v>
      </c>
      <c r="O39" s="7">
        <v>0</v>
      </c>
      <c r="P39" s="7">
        <v>0</v>
      </c>
      <c r="Q39" s="7">
        <v>0</v>
      </c>
      <c r="R39" s="7">
        <v>2806.5306500000206</v>
      </c>
      <c r="S39" s="113">
        <f>[4]CF!$C$40</f>
        <v>8553.3120699999981</v>
      </c>
      <c r="T39" s="7">
        <v>9723.6077699999987</v>
      </c>
      <c r="U39" s="7">
        <v>7584.9721699999964</v>
      </c>
      <c r="V39" s="5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x14ac:dyDescent="0.3">
      <c r="A40" s="51" t="str">
        <f>HLOOKUP(Chosen,Hide!$A$101:$C$153, 40, FALSE)</f>
        <v>Wpływy z emisji instrumentów dłużnych</v>
      </c>
      <c r="B40" s="7">
        <v>50000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5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x14ac:dyDescent="0.3">
      <c r="A41" s="52" t="str">
        <f>HLOOKUP(Chosen,Hide!$A$101:$C$153, 41, FALSE)</f>
        <v>Wpływy z tytułu wydania akcji</v>
      </c>
      <c r="B41" s="7">
        <v>32186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12578.27025</v>
      </c>
      <c r="Q41" s="135">
        <v>12578.27025</v>
      </c>
      <c r="R41" s="113">
        <v>12578.27025</v>
      </c>
      <c r="S41" s="7">
        <v>0</v>
      </c>
      <c r="T41" s="7">
        <v>0</v>
      </c>
      <c r="U41" s="135">
        <v>0</v>
      </c>
      <c r="V41" s="5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x14ac:dyDescent="0.3">
      <c r="A42" s="52" t="s">
        <v>394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17028.014720760999</v>
      </c>
      <c r="Q42" s="135">
        <v>16656.57121603933</v>
      </c>
      <c r="R42" s="7">
        <v>16533.058605428749</v>
      </c>
      <c r="S42" s="7">
        <v>7625.5333333333328</v>
      </c>
      <c r="T42" s="7">
        <v>7562.9333333333343</v>
      </c>
      <c r="U42" s="135">
        <v>7562.9333333333343</v>
      </c>
      <c r="V42" s="5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x14ac:dyDescent="0.3">
      <c r="A43" s="52" t="s">
        <v>375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-1709.4670000000001</v>
      </c>
      <c r="M43" s="7">
        <v>-4162.7743</v>
      </c>
      <c r="N43" s="7">
        <v>-6661.4680499999995</v>
      </c>
      <c r="O43" s="7">
        <v>-1306.8076499999997</v>
      </c>
      <c r="P43" s="7">
        <v>-1927.019520000001</v>
      </c>
      <c r="Q43" s="135">
        <v>-2529.9614099999994</v>
      </c>
      <c r="R43" s="7">
        <v>-12851.635709999999</v>
      </c>
      <c r="S43" s="7">
        <v>-203.93226000000004</v>
      </c>
      <c r="T43" s="7">
        <v>0</v>
      </c>
      <c r="U43" s="135">
        <v>0</v>
      </c>
      <c r="V43" s="5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x14ac:dyDescent="0.3">
      <c r="A44" s="51" t="str">
        <f>HLOOKUP(Chosen,Hide!$A$101:$C$153, 42, FALSE)</f>
        <v>Spłata zadłużenia na kartach kredytowych i z tytułu pożyczek</v>
      </c>
      <c r="B44" s="7">
        <v>-1148</v>
      </c>
      <c r="C44" s="7">
        <v>0</v>
      </c>
      <c r="D44" s="7">
        <v>0</v>
      </c>
      <c r="E44" s="7">
        <v>0</v>
      </c>
      <c r="F44" s="7">
        <v>0</v>
      </c>
      <c r="G44" s="7">
        <v>-865</v>
      </c>
      <c r="H44" s="7">
        <v>-844.5319109850002</v>
      </c>
      <c r="I44" s="7">
        <v>-1625.192251176471</v>
      </c>
      <c r="J44" s="7">
        <v>-1633.0446349999997</v>
      </c>
      <c r="K44" s="7">
        <v>-13.211630000000028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-150.78303999999997</v>
      </c>
      <c r="U44" s="7">
        <v>-90.414900000000003</v>
      </c>
      <c r="V44" s="5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x14ac:dyDescent="0.3">
      <c r="A45" s="51" t="str">
        <f>HLOOKUP(Chosen,Hide!$A$101:$C$153, 43, FALSE)</f>
        <v>Nabycie udziałów niekontrolujących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5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x14ac:dyDescent="0.3">
      <c r="A46" s="51" t="str">
        <f>HLOOKUP(Chosen,Hide!$A$101:$C$153, 44, FALSE)</f>
        <v>Wypłata dywidendy</v>
      </c>
      <c r="B46" s="7">
        <v>-6392</v>
      </c>
      <c r="C46" s="7">
        <v>0</v>
      </c>
      <c r="D46" s="7">
        <v>0</v>
      </c>
      <c r="E46" s="7">
        <v>0</v>
      </c>
      <c r="F46" s="7">
        <v>-11565</v>
      </c>
      <c r="G46" s="7">
        <v>0</v>
      </c>
      <c r="H46" s="7">
        <v>0</v>
      </c>
      <c r="I46" s="7">
        <v>-5121</v>
      </c>
      <c r="J46" s="7">
        <v>-5121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5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x14ac:dyDescent="0.3">
      <c r="A47" s="51" t="str">
        <f>HLOOKUP(Chosen,Hide!$A$101:$C$153, 45, FALSE)</f>
        <v>Odsetki zapłacone od obligacji</v>
      </c>
      <c r="B47" s="7">
        <v>-1363</v>
      </c>
      <c r="C47" s="7">
        <v>0</v>
      </c>
      <c r="D47" s="7">
        <v>-1371</v>
      </c>
      <c r="E47" s="7">
        <v>-1371</v>
      </c>
      <c r="F47" s="7">
        <v>-2753</v>
      </c>
      <c r="G47" s="7">
        <v>0</v>
      </c>
      <c r="H47" s="7">
        <v>-1373.5</v>
      </c>
      <c r="I47" s="7">
        <v>-1373.5</v>
      </c>
      <c r="J47" s="7">
        <v>-2747.5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5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x14ac:dyDescent="0.3">
      <c r="A48" s="51" t="str">
        <f>HLOOKUP(Chosen,Hide!$A$101:$C$153, 46, FALSE)</f>
        <v>Dyskonto obligacji</v>
      </c>
      <c r="B48" s="7">
        <v>-480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5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x14ac:dyDescent="0.3">
      <c r="A49" s="51" t="str">
        <f>HLOOKUP(Chosen,Hide!$A$101:$C$153, 47, FALSE)</f>
        <v>Spłata zobowiązań finansowych</v>
      </c>
      <c r="B49" s="7">
        <v>0</v>
      </c>
      <c r="C49" s="7">
        <v>0</v>
      </c>
      <c r="D49" s="7">
        <v>-8080</v>
      </c>
      <c r="E49" s="7">
        <v>-8079.7832201700003</v>
      </c>
      <c r="F49" s="7">
        <v>-8080</v>
      </c>
      <c r="G49" s="7">
        <v>-7547</v>
      </c>
      <c r="H49" s="7">
        <v>-7838.3767959875067</v>
      </c>
      <c r="I49" s="7">
        <v>-7838.3767959875067</v>
      </c>
      <c r="J49" s="7">
        <v>-8068.9216572562491</v>
      </c>
      <c r="K49" s="7">
        <v>0</v>
      </c>
      <c r="L49" s="7">
        <v>-8081.8038000000006</v>
      </c>
      <c r="M49" s="7">
        <v>-8081.8038000000006</v>
      </c>
      <c r="N49" s="7">
        <v>-8113.1238000000003</v>
      </c>
      <c r="O49" s="7">
        <v>0</v>
      </c>
      <c r="P49" s="7">
        <v>0</v>
      </c>
      <c r="Q49" s="7">
        <v>0</v>
      </c>
      <c r="R49" s="7">
        <v>0</v>
      </c>
      <c r="S49" s="7">
        <v>-572.39270820596437</v>
      </c>
      <c r="T49" s="7">
        <v>-1122.3410228724915</v>
      </c>
      <c r="U49" s="7">
        <v>-2039.6661429155913</v>
      </c>
      <c r="V49" s="5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x14ac:dyDescent="0.3">
      <c r="A50" s="51" t="str">
        <f>HLOOKUP(Chosen,Hide!$A$101:$C$153, 48, FALSE)</f>
        <v>Wypłata z zysku Medi-Lynx do udziałowca mniejszościowego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-1281</v>
      </c>
      <c r="H50" s="7">
        <v>-1404</v>
      </c>
      <c r="I50" s="7">
        <v>-1378.2750000000001</v>
      </c>
      <c r="J50" s="7">
        <v>-1409.8875</v>
      </c>
      <c r="K50" s="7">
        <v>0</v>
      </c>
      <c r="L50" s="7">
        <v>-7782</v>
      </c>
      <c r="M50" s="7">
        <v>-7782</v>
      </c>
      <c r="N50" s="7">
        <v>-7782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5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x14ac:dyDescent="0.3">
      <c r="A51" s="51" t="s">
        <v>367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-1248.9617313325602</v>
      </c>
      <c r="L51" s="7">
        <v>-2505.4698507670755</v>
      </c>
      <c r="M51" s="7">
        <v>-4038.2354274449563</v>
      </c>
      <c r="N51" s="7">
        <v>-5290.187252711632</v>
      </c>
      <c r="O51" s="7">
        <v>-1351.2405449473781</v>
      </c>
      <c r="P51" s="7">
        <v>-2656.4914377090818</v>
      </c>
      <c r="Q51" s="118">
        <f>[3]CF!$C$42+0.12</f>
        <v>-4339.3649361440603</v>
      </c>
      <c r="R51" s="7">
        <v>-5310.2731792359991</v>
      </c>
      <c r="S51" s="7">
        <v>-1390.6742183572151</v>
      </c>
      <c r="T51" s="7">
        <v>-2803.439303509901</v>
      </c>
      <c r="U51" s="118">
        <v>-4193.1133482315327</v>
      </c>
      <c r="V51" s="5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x14ac:dyDescent="0.3">
      <c r="A52" s="51" t="s">
        <v>374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-51368.5</v>
      </c>
      <c r="M52" s="7">
        <v>-51368.5</v>
      </c>
      <c r="N52" s="7">
        <v>-51368.5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5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x14ac:dyDescent="0.3">
      <c r="A53" s="51" t="s">
        <v>92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154.64757</v>
      </c>
      <c r="L53" s="7">
        <v>300.87593000000004</v>
      </c>
      <c r="M53" s="7">
        <v>470.50059000000005</v>
      </c>
      <c r="N53" s="7">
        <v>470.45059000000003</v>
      </c>
      <c r="O53" s="7">
        <v>49.281166470000244</v>
      </c>
      <c r="P53" s="7">
        <v>184.69500809200008</v>
      </c>
      <c r="Q53" s="131">
        <v>406</v>
      </c>
      <c r="R53" s="7">
        <v>251.9298580920003</v>
      </c>
      <c r="S53" s="7">
        <v>566.43300999999985</v>
      </c>
      <c r="T53" s="155">
        <v>0</v>
      </c>
      <c r="U53" s="131">
        <v>0</v>
      </c>
      <c r="V53" s="5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6" customFormat="1" x14ac:dyDescent="0.3">
      <c r="A54" s="50"/>
      <c r="B54" s="8">
        <v>72803</v>
      </c>
      <c r="C54" s="13">
        <v>1234</v>
      </c>
      <c r="D54" s="13">
        <v>-6938</v>
      </c>
      <c r="E54" s="13">
        <v>-8928.2532201699996</v>
      </c>
      <c r="F54" s="13">
        <v>-21594</v>
      </c>
      <c r="G54" s="13">
        <v>-9693</v>
      </c>
      <c r="H54" s="13">
        <v>-11460.508706972507</v>
      </c>
      <c r="I54" s="13">
        <v>-17336.444047163975</v>
      </c>
      <c r="J54" s="13">
        <v>-18981.153792256246</v>
      </c>
      <c r="K54" s="13">
        <v>-1107.4857913325602</v>
      </c>
      <c r="L54" s="13">
        <v>-52146.364720767073</v>
      </c>
      <c r="M54" s="13">
        <v>-55962.912937444955</v>
      </c>
      <c r="N54" s="13">
        <v>-59744.828512711632</v>
      </c>
      <c r="O54" s="13">
        <v>-2608.7670284773776</v>
      </c>
      <c r="P54" s="13">
        <v>25207.509021143916</v>
      </c>
      <c r="Q54" s="132">
        <v>22772</v>
      </c>
      <c r="R54" s="132">
        <v>14007.880474284771</v>
      </c>
      <c r="S54" s="132">
        <v>14578.279226770152</v>
      </c>
      <c r="T54" s="132">
        <v>13209.977736950939</v>
      </c>
      <c r="U54" s="132">
        <v>8824.5111121862064</v>
      </c>
      <c r="V54" s="5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 s="6" customFormat="1" x14ac:dyDescent="0.3">
      <c r="A55" s="50" t="str">
        <f>HLOOKUP(Chosen,Hide!$A$101:$C$153, 50, FALSE)</f>
        <v>Przepływy pieniężne netto ogółem</v>
      </c>
      <c r="B55" s="8">
        <v>27578</v>
      </c>
      <c r="C55" s="8">
        <v>-35564</v>
      </c>
      <c r="D55" s="8">
        <v>-28337</v>
      </c>
      <c r="E55" s="8">
        <v>-17352.490134043095</v>
      </c>
      <c r="F55" s="8">
        <v>-15009</v>
      </c>
      <c r="G55" s="8">
        <v>-6502</v>
      </c>
      <c r="H55" s="8">
        <v>11909.163697094804</v>
      </c>
      <c r="I55" s="8">
        <v>15271.0381592417</v>
      </c>
      <c r="J55" s="8">
        <v>27657.579740697267</v>
      </c>
      <c r="K55" s="8">
        <v>3163.5083150347632</v>
      </c>
      <c r="L55" s="8">
        <v>-39302.17989367999</v>
      </c>
      <c r="M55" s="8">
        <v>-41512.319957012594</v>
      </c>
      <c r="N55" s="8">
        <v>-49039.017593444616</v>
      </c>
      <c r="O55" s="8">
        <v>-4878.5795051656023</v>
      </c>
      <c r="P55" s="8">
        <v>29824.713813708753</v>
      </c>
      <c r="Q55" s="132">
        <v>21555</v>
      </c>
      <c r="R55" s="132">
        <v>5046.876279669651</v>
      </c>
      <c r="S55" s="132">
        <v>7532.6794833542117</v>
      </c>
      <c r="T55" s="132">
        <v>-58.963810513227145</v>
      </c>
      <c r="U55" s="132">
        <v>-8267.9051059527228</v>
      </c>
      <c r="V55" s="5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 x14ac:dyDescent="0.3">
      <c r="A56" s="51" t="str">
        <f>HLOOKUP(Chosen,Hide!$A$101:$C$153, 51, FALSE)</f>
        <v>Środki pieniężne i ich ekwiwalenty na początek okresu</v>
      </c>
      <c r="B56" s="7">
        <v>19962</v>
      </c>
      <c r="C56" s="14">
        <v>47540</v>
      </c>
      <c r="D56" s="14">
        <v>47540</v>
      </c>
      <c r="E56" s="14">
        <v>47540</v>
      </c>
      <c r="F56" s="14">
        <v>47540</v>
      </c>
      <c r="G56" s="14">
        <v>32531</v>
      </c>
      <c r="H56" s="14">
        <v>32531</v>
      </c>
      <c r="I56" s="14">
        <v>32531</v>
      </c>
      <c r="J56" s="14">
        <v>32531.163003139998</v>
      </c>
      <c r="K56" s="14">
        <v>60188.718311751007</v>
      </c>
      <c r="L56" s="14">
        <v>60188.718311751007</v>
      </c>
      <c r="M56" s="14">
        <v>60189</v>
      </c>
      <c r="N56" s="14">
        <v>60188.718311751007</v>
      </c>
      <c r="O56" s="14">
        <v>11150</v>
      </c>
      <c r="P56" s="14">
        <v>11150.094682432078</v>
      </c>
      <c r="Q56" s="135">
        <v>11150.094682432078</v>
      </c>
      <c r="R56" s="135">
        <v>11150.094682432078</v>
      </c>
      <c r="S56" s="135">
        <v>16196.963174138302</v>
      </c>
      <c r="T56" s="135">
        <v>16196.963174138302</v>
      </c>
      <c r="U56" s="135">
        <v>16196.9631741383</v>
      </c>
      <c r="V56" s="5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hidden="1" x14ac:dyDescent="0.3">
      <c r="A57" s="51" t="str">
        <f>HLOOKUP(Chosen,Hide!$A$101:$C$153, 52, FALSE)</f>
        <v>Wpływ zmian z tytułu różnic kursowych dotyczących środków pieniężnych i ich ekwiwalentów</v>
      </c>
      <c r="B57" s="7">
        <v>0</v>
      </c>
      <c r="C57" s="15">
        <v>0</v>
      </c>
      <c r="D57" s="15">
        <v>0</v>
      </c>
      <c r="E57" s="15">
        <v>0</v>
      </c>
      <c r="F57" s="15"/>
      <c r="G57" s="15">
        <v>0</v>
      </c>
      <c r="H57" s="15">
        <v>0</v>
      </c>
      <c r="I57" s="15">
        <v>0</v>
      </c>
      <c r="J57" s="15">
        <v>0</v>
      </c>
      <c r="K57" s="15"/>
      <c r="L57" s="15">
        <v>0</v>
      </c>
      <c r="M57" s="15">
        <v>0</v>
      </c>
      <c r="N57" s="15"/>
      <c r="O57" s="15">
        <v>0</v>
      </c>
      <c r="P57" s="15"/>
      <c r="Q57" s="135">
        <v>0</v>
      </c>
      <c r="R57" s="135">
        <v>0</v>
      </c>
      <c r="S57" s="135">
        <v>0</v>
      </c>
      <c r="T57" s="135"/>
      <c r="U57" s="135">
        <v>0</v>
      </c>
      <c r="V57" s="5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6" customFormat="1" x14ac:dyDescent="0.3">
      <c r="A58" s="50" t="str">
        <f>HLOOKUP(Chosen,Hide!$A$101:$C$153, 53, FALSE)</f>
        <v>Środki pieniężne na koniec okresu</v>
      </c>
      <c r="B58" s="8">
        <v>47540</v>
      </c>
      <c r="C58" s="8">
        <v>11976</v>
      </c>
      <c r="D58" s="8">
        <v>19203</v>
      </c>
      <c r="E58" s="8">
        <v>30187.509865956905</v>
      </c>
      <c r="F58" s="8">
        <v>32531</v>
      </c>
      <c r="G58" s="8">
        <v>26029</v>
      </c>
      <c r="H58" s="8">
        <v>44440.163697094802</v>
      </c>
      <c r="I58" s="8">
        <v>47802.038159241696</v>
      </c>
      <c r="J58" s="8">
        <v>60188.742743837269</v>
      </c>
      <c r="K58" s="8">
        <v>63352.506626785769</v>
      </c>
      <c r="L58" s="8">
        <v>20886.818418071016</v>
      </c>
      <c r="M58" s="8">
        <v>18676.680042987406</v>
      </c>
      <c r="N58" s="117">
        <f>N55+N56+N57+0.2</f>
        <v>11149.900718306391</v>
      </c>
      <c r="O58" s="117">
        <v>6271.4204948343977</v>
      </c>
      <c r="P58" s="117">
        <v>40975.08849614083</v>
      </c>
      <c r="Q58" s="132">
        <v>32705</v>
      </c>
      <c r="R58" s="132">
        <v>16196.970962101728</v>
      </c>
      <c r="S58" s="132">
        <v>23729.642657492514</v>
      </c>
      <c r="T58" s="132">
        <v>16137.999363625075</v>
      </c>
      <c r="U58" s="132">
        <v>7929.0580681855772</v>
      </c>
      <c r="V58" s="5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</row>
    <row r="59" spans="1:54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2:54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2:54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2:54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2:54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</row>
    <row r="73" spans="2:54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2:54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2:54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2:54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2:54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2:54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2:54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2:54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2:54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</row>
    <row r="83" spans="2:54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2:54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2:54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</row>
    <row r="86" spans="2:54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</row>
    <row r="87" spans="2:54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</row>
    <row r="88" spans="2:54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</row>
    <row r="89" spans="2:54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</row>
    <row r="90" spans="2:54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</row>
    <row r="91" spans="2:54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</row>
    <row r="92" spans="2:54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2:54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2:54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2:54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2:54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2:54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2:54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2:54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</row>
    <row r="100" spans="2:54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</row>
    <row r="101" spans="2:54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</row>
    <row r="102" spans="2:54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</row>
    <row r="103" spans="2:54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</row>
    <row r="104" spans="2:54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</row>
    <row r="105" spans="2:54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</row>
    <row r="106" spans="2:54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</row>
    <row r="107" spans="2:54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</row>
    <row r="108" spans="2:54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</row>
    <row r="109" spans="2:54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</row>
    <row r="110" spans="2:54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spans="2:54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2:54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2:54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2:54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</row>
    <row r="115" spans="2:54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</row>
    <row r="116" spans="2:54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</row>
    <row r="117" spans="2:54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</row>
    <row r="118" spans="2:54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2:54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2:54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2:54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</row>
    <row r="124" spans="2:54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</row>
    <row r="125" spans="2:54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</row>
    <row r="126" spans="2:54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</row>
    <row r="127" spans="2:54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</row>
    <row r="128" spans="2:54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</row>
    <row r="129" spans="2:54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</row>
    <row r="130" spans="2:54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</row>
    <row r="131" spans="2:54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</row>
    <row r="132" spans="2:54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</row>
    <row r="133" spans="2:54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</row>
    <row r="134" spans="2:54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</row>
    <row r="135" spans="2:54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</row>
    <row r="136" spans="2:54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</row>
    <row r="137" spans="2:54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</row>
    <row r="138" spans="2:54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</row>
    <row r="139" spans="2:54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</row>
    <row r="140" spans="2:54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</row>
    <row r="141" spans="2:54" x14ac:dyDescent="0.3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</row>
    <row r="142" spans="2:54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</row>
    <row r="143" spans="2:54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</row>
    <row r="144" spans="2:54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</row>
    <row r="145" spans="2:54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</row>
    <row r="146" spans="2:54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</row>
    <row r="147" spans="2:54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</row>
    <row r="148" spans="2:54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</row>
    <row r="149" spans="2:54" x14ac:dyDescent="0.3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 xr:uid="{00000000-0004-0000-0300-000000000000}"/>
  </hyperlinks>
  <pageMargins left="0.7" right="0.7" top="0.75" bottom="0.75" header="0.3" footer="0.3"/>
  <pageSetup paperSize="9" orientation="portrait" r:id="rId1"/>
  <ignoredErrors>
    <ignoredError sqref="Q34 Q32 Q51" unlockedFormula="1"/>
    <ignoredError sqref="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8" tint="0.79998168889431442"/>
  </sheetPr>
  <dimension ref="A1:AN98"/>
  <sheetViews>
    <sheetView showGridLines="0" workbookViewId="0">
      <pane xSplit="1" ySplit="2" topLeftCell="W18" activePane="bottomRight" state="frozen"/>
      <selection activeCell="A17" sqref="A17"/>
      <selection pane="topRight" activeCell="A17" sqref="A17"/>
      <selection pane="bottomLeft" activeCell="A17" sqref="A17"/>
      <selection pane="bottomRight" activeCell="AF36" sqref="AF36"/>
    </sheetView>
  </sheetViews>
  <sheetFormatPr defaultColWidth="9.33203125" defaultRowHeight="14.4" x14ac:dyDescent="0.3"/>
  <cols>
    <col min="1" max="1" width="47.44140625" style="2" customWidth="1"/>
    <col min="2" max="27" width="11.44140625" style="2" customWidth="1"/>
    <col min="28" max="32" width="10.33203125" style="2" bestFit="1" customWidth="1"/>
    <col min="33" max="16384" width="9.33203125" style="2"/>
  </cols>
  <sheetData>
    <row r="1" spans="1:40" x14ac:dyDescent="0.3">
      <c r="A1" s="3" t="str">
        <f>HLOOKUP(Chosen,Hide!$A$9:$C$11, 2, FALSE)</f>
        <v>SPIS TREŚCI</v>
      </c>
      <c r="B1" s="4"/>
    </row>
    <row r="2" spans="1:40" s="32" customFormat="1" x14ac:dyDescent="0.3">
      <c r="A2" s="90" t="str">
        <f>HLOOKUP(Chosen,Hide!$A$64:$C$99, 36, FALSE)</f>
        <v>tys. PLN</v>
      </c>
      <c r="B2" s="58">
        <v>41729</v>
      </c>
      <c r="C2" s="58">
        <v>41820</v>
      </c>
      <c r="D2" s="58">
        <v>41912</v>
      </c>
      <c r="E2" s="58">
        <v>42004</v>
      </c>
      <c r="F2" s="58">
        <v>42094</v>
      </c>
      <c r="G2" s="58">
        <v>42185</v>
      </c>
      <c r="H2" s="58">
        <v>42277</v>
      </c>
      <c r="I2" s="58">
        <v>42369</v>
      </c>
      <c r="J2" s="58">
        <v>42460</v>
      </c>
      <c r="K2" s="58">
        <v>42551</v>
      </c>
      <c r="L2" s="58">
        <v>42643</v>
      </c>
      <c r="M2" s="58">
        <v>42735</v>
      </c>
      <c r="N2" s="58">
        <v>42825</v>
      </c>
      <c r="O2" s="58">
        <v>42916</v>
      </c>
      <c r="P2" s="58">
        <v>43008</v>
      </c>
      <c r="Q2" s="58">
        <v>43100</v>
      </c>
      <c r="R2" s="58">
        <v>43190</v>
      </c>
      <c r="S2" s="58">
        <v>43281</v>
      </c>
      <c r="T2" s="58">
        <v>43373</v>
      </c>
      <c r="U2" s="58">
        <v>43465</v>
      </c>
      <c r="V2" s="58">
        <v>43555</v>
      </c>
      <c r="W2" s="58">
        <v>43646</v>
      </c>
      <c r="X2" s="58">
        <v>43738</v>
      </c>
      <c r="Y2" s="58">
        <v>43830</v>
      </c>
      <c r="Z2" s="58">
        <v>43921</v>
      </c>
      <c r="AA2" s="58">
        <v>44012</v>
      </c>
      <c r="AB2" s="58">
        <v>44104</v>
      </c>
      <c r="AC2" s="58">
        <v>44196</v>
      </c>
      <c r="AD2" s="58">
        <v>44286</v>
      </c>
      <c r="AE2" s="58">
        <v>44377</v>
      </c>
      <c r="AF2" s="58">
        <v>44469</v>
      </c>
    </row>
    <row r="3" spans="1:40" x14ac:dyDescent="0.3">
      <c r="A3" s="43" t="str">
        <f>HLOOKUP(Chosen,Hide!$A$181:$C$213, 2, FALSE)</f>
        <v>Wartości niematerialne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13841.687260000001</v>
      </c>
      <c r="Q3" s="7">
        <v>14581</v>
      </c>
      <c r="R3" s="7">
        <v>15631</v>
      </c>
      <c r="S3" s="7">
        <v>16518.38709</v>
      </c>
      <c r="T3" s="7">
        <v>17601.872820000001</v>
      </c>
      <c r="U3" s="7">
        <v>18817.119839999999</v>
      </c>
      <c r="V3" s="7">
        <v>20043.612959999999</v>
      </c>
      <c r="W3" s="7">
        <v>20862.000159999996</v>
      </c>
      <c r="X3" s="7">
        <v>21520.630720000001</v>
      </c>
      <c r="Y3" s="7">
        <v>22287.28457</v>
      </c>
      <c r="Z3" s="7">
        <v>23029.027990000002</v>
      </c>
      <c r="AA3" s="7">
        <v>23548.463339999998</v>
      </c>
      <c r="AB3" s="136">
        <v>24391.532289999999</v>
      </c>
      <c r="AC3" s="7">
        <v>22224.433249999995</v>
      </c>
      <c r="AD3" s="7">
        <v>23317.256150000001</v>
      </c>
      <c r="AE3" s="7">
        <v>24097.954159999998</v>
      </c>
      <c r="AF3" s="136">
        <v>24801.280719999995</v>
      </c>
      <c r="AG3" s="7"/>
      <c r="AH3" s="7"/>
      <c r="AI3" s="7"/>
      <c r="AJ3" s="7"/>
      <c r="AK3" s="7"/>
      <c r="AL3" s="7"/>
      <c r="AM3" s="7"/>
      <c r="AN3" s="7"/>
    </row>
    <row r="4" spans="1:40" x14ac:dyDescent="0.3">
      <c r="A4" s="43" t="str">
        <f>HLOOKUP(Chosen,Hide!$A$181:$C$213, 3, FALSE)</f>
        <v>Rzeczowe aktywa trwałe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900.81140000000016</v>
      </c>
      <c r="Q4" s="7">
        <v>1301</v>
      </c>
      <c r="R4" s="7">
        <v>1327</v>
      </c>
      <c r="S4" s="7">
        <v>1603.1834699999999</v>
      </c>
      <c r="T4" s="7">
        <v>1800.3940199999997</v>
      </c>
      <c r="U4" s="7">
        <v>1999.62796</v>
      </c>
      <c r="V4" s="7">
        <v>6505.8246099999997</v>
      </c>
      <c r="W4" s="7">
        <v>6204.9527799999996</v>
      </c>
      <c r="X4" s="7">
        <v>5825.4945699999998</v>
      </c>
      <c r="Y4" s="7">
        <v>5326.5360000000001</v>
      </c>
      <c r="Z4" s="7">
        <v>4879.4921799999993</v>
      </c>
      <c r="AA4" s="7">
        <v>4499.0509599999987</v>
      </c>
      <c r="AB4" s="136">
        <v>4118.4405599999991</v>
      </c>
      <c r="AC4" s="7">
        <v>3938.7410299999992</v>
      </c>
      <c r="AD4" s="7">
        <v>3584.6210200000005</v>
      </c>
      <c r="AE4" s="7">
        <v>3845.7090999999996</v>
      </c>
      <c r="AF4" s="136">
        <v>3368.2906499999999</v>
      </c>
      <c r="AG4" s="7"/>
      <c r="AH4" s="7"/>
      <c r="AI4" s="7"/>
      <c r="AJ4" s="7"/>
      <c r="AK4" s="7"/>
      <c r="AL4" s="7"/>
      <c r="AM4" s="7"/>
      <c r="AN4" s="7"/>
    </row>
    <row r="5" spans="1:40" x14ac:dyDescent="0.3">
      <c r="A5" s="43" t="str">
        <f>HLOOKUP(Chosen,Hide!$A$181:$C$213, 4, FALSE)</f>
        <v>Należności długoterminowe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136">
        <v>0</v>
      </c>
      <c r="AC5" s="7">
        <v>0</v>
      </c>
      <c r="AD5" s="7">
        <v>0</v>
      </c>
      <c r="AE5" s="7">
        <v>56.388089999999998</v>
      </c>
      <c r="AF5" s="136">
        <v>30.835238095238097</v>
      </c>
      <c r="AG5" s="7"/>
      <c r="AH5" s="7"/>
      <c r="AI5" s="7"/>
      <c r="AJ5" s="7"/>
      <c r="AK5" s="7"/>
      <c r="AL5" s="7"/>
      <c r="AM5" s="7"/>
      <c r="AN5" s="7"/>
    </row>
    <row r="6" spans="1:40" x14ac:dyDescent="0.3">
      <c r="A6" s="43" t="str">
        <f>HLOOKUP(Chosen,Hide!$A$181:$C$213, 5, FALSE)</f>
        <v>Aktywa finansowe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75045.666629999992</v>
      </c>
      <c r="Q6" s="7">
        <v>74691</v>
      </c>
      <c r="R6" s="7">
        <v>74238</v>
      </c>
      <c r="S6" s="7">
        <v>70380.632700000002</v>
      </c>
      <c r="T6" s="7">
        <v>69872.500719999996</v>
      </c>
      <c r="U6" s="7">
        <v>72275.37414</v>
      </c>
      <c r="V6" s="7">
        <v>62422.489350000011</v>
      </c>
      <c r="W6" s="7">
        <v>61482.653789999997</v>
      </c>
      <c r="X6" s="7">
        <v>66633.409619999991</v>
      </c>
      <c r="Y6" s="7">
        <v>64021.217479999999</v>
      </c>
      <c r="Z6" s="7">
        <v>69973.137899999987</v>
      </c>
      <c r="AA6" s="7">
        <v>67971.554569999993</v>
      </c>
      <c r="AB6" s="136">
        <v>66803.658329999991</v>
      </c>
      <c r="AC6" s="7">
        <v>65727.322090000001</v>
      </c>
      <c r="AD6" s="7">
        <v>71780.418529999995</v>
      </c>
      <c r="AE6" s="7">
        <v>69589.21394999999</v>
      </c>
      <c r="AF6" s="136">
        <v>73906.093529999998</v>
      </c>
      <c r="AG6" s="7"/>
      <c r="AH6" s="7"/>
      <c r="AI6" s="7"/>
      <c r="AJ6" s="7"/>
      <c r="AK6" s="7"/>
      <c r="AL6" s="7"/>
      <c r="AM6" s="7"/>
      <c r="AN6" s="7"/>
    </row>
    <row r="7" spans="1:40" x14ac:dyDescent="0.3">
      <c r="A7" s="43" t="str">
        <f>HLOOKUP(Chosen,Hide!$A$181:$C$213, 6, FALSE)</f>
        <v>Udziały w jednostkach zależnych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94770.870949999997</v>
      </c>
      <c r="Q7" s="7">
        <v>94771</v>
      </c>
      <c r="R7" s="7">
        <v>94771</v>
      </c>
      <c r="S7" s="7">
        <v>94770.870949999997</v>
      </c>
      <c r="T7" s="7">
        <v>96037.874949999998</v>
      </c>
      <c r="U7" s="7">
        <v>96037.874949999998</v>
      </c>
      <c r="V7" s="7">
        <v>96220.504390000002</v>
      </c>
      <c r="W7" s="7">
        <v>96220.508390000003</v>
      </c>
      <c r="X7" s="7">
        <v>96220.508390000003</v>
      </c>
      <c r="Y7" s="7">
        <v>96220.608389999994</v>
      </c>
      <c r="Z7" s="7">
        <v>96220.508390000003</v>
      </c>
      <c r="AA7" s="7">
        <v>96220.508390000003</v>
      </c>
      <c r="AB7" s="136">
        <v>96220.908389999997</v>
      </c>
      <c r="AC7" s="7">
        <v>96220.508390000003</v>
      </c>
      <c r="AD7" s="7">
        <v>96220.908389999997</v>
      </c>
      <c r="AE7" s="7">
        <v>80549.311413236297</v>
      </c>
      <c r="AF7" s="136">
        <v>80549.311409999995</v>
      </c>
      <c r="AG7" s="7"/>
      <c r="AH7" s="7"/>
      <c r="AI7" s="7"/>
      <c r="AJ7" s="7"/>
      <c r="AK7" s="7"/>
      <c r="AL7" s="7"/>
      <c r="AM7" s="7"/>
      <c r="AN7" s="7"/>
    </row>
    <row r="8" spans="1:40" ht="15.75" customHeight="1" x14ac:dyDescent="0.3">
      <c r="A8" s="38" t="str">
        <f>HLOOKUP(Chosen,Hide!$A$181:$C$213, 7, FALSE)</f>
        <v>Aktywa z tytułu odroczonego podatku dochodowego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2865.4789999999998</v>
      </c>
      <c r="Q8" s="7">
        <v>3514</v>
      </c>
      <c r="R8" s="7">
        <v>3823</v>
      </c>
      <c r="S8" s="7">
        <v>2673.0880000000002</v>
      </c>
      <c r="T8" s="7">
        <v>3173.3310000000001</v>
      </c>
      <c r="U8" s="7">
        <v>1782.6056465550992</v>
      </c>
      <c r="V8" s="7">
        <v>1476.491</v>
      </c>
      <c r="W8" s="7">
        <v>1120.472</v>
      </c>
      <c r="X8" s="7">
        <v>593.26199999999994</v>
      </c>
      <c r="Y8" s="7">
        <v>828.49300000000005</v>
      </c>
      <c r="Z8" s="7">
        <v>616.06299999999999</v>
      </c>
      <c r="AA8" s="7">
        <v>1384.4860000000001</v>
      </c>
      <c r="AB8" s="136">
        <v>1851.4290000000001</v>
      </c>
      <c r="AC8" s="7">
        <v>1320.3620000000001</v>
      </c>
      <c r="AD8" s="7">
        <v>1474.21</v>
      </c>
      <c r="AE8" s="7">
        <v>4902.5684956851028</v>
      </c>
      <c r="AF8" s="136">
        <v>5331.6170000000002</v>
      </c>
      <c r="AG8" s="7"/>
      <c r="AH8" s="7"/>
      <c r="AI8" s="7"/>
      <c r="AJ8" s="7"/>
      <c r="AK8" s="7"/>
      <c r="AL8" s="7"/>
      <c r="AM8" s="7"/>
      <c r="AN8" s="7"/>
    </row>
    <row r="9" spans="1:40" s="6" customFormat="1" x14ac:dyDescent="0.3">
      <c r="A9" s="44" t="str">
        <f>HLOOKUP(Chosen,Hide!$A$181:$C$213, 8, FALSE)</f>
        <v>Aktywa trwałe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185890.58712000001</v>
      </c>
      <c r="X9" s="8">
        <v>190793.30529999998</v>
      </c>
      <c r="Y9" s="8">
        <v>188684.03943999996</v>
      </c>
      <c r="Z9" s="8">
        <v>194718.12945999997</v>
      </c>
      <c r="AA9" s="8">
        <v>193623.96325999999</v>
      </c>
      <c r="AB9" s="137">
        <v>193385.96857</v>
      </c>
      <c r="AC9" s="137">
        <v>189431.36675999998</v>
      </c>
      <c r="AD9" s="137">
        <v>196377.41408999998</v>
      </c>
      <c r="AE9" s="137">
        <v>183040.94052892138</v>
      </c>
      <c r="AF9" s="137">
        <v>187987.42854809522</v>
      </c>
      <c r="AG9" s="7"/>
      <c r="AH9" s="5"/>
      <c r="AI9" s="5"/>
      <c r="AJ9" s="5"/>
      <c r="AK9" s="5"/>
      <c r="AL9" s="5"/>
      <c r="AM9" s="5"/>
      <c r="AN9" s="5"/>
    </row>
    <row r="10" spans="1:40" x14ac:dyDescent="0.3">
      <c r="A10" s="43" t="str">
        <f>HLOOKUP(Chosen,Hide!$A$181:$C$213, 9, FALSE)</f>
        <v>Zapasy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8668.0010600000005</v>
      </c>
      <c r="Q10" s="7">
        <v>7856</v>
      </c>
      <c r="R10" s="7">
        <v>6504</v>
      </c>
      <c r="S10" s="7">
        <v>5973.6737199999998</v>
      </c>
      <c r="T10" s="7">
        <v>5944.0806600000005</v>
      </c>
      <c r="U10" s="7">
        <v>5087.8612999727038</v>
      </c>
      <c r="V10" s="7">
        <v>6659.4306300000007</v>
      </c>
      <c r="W10" s="7">
        <v>6767.2907400000004</v>
      </c>
      <c r="X10" s="7">
        <v>6224.9411000000009</v>
      </c>
      <c r="Y10" s="7">
        <v>5757.51919</v>
      </c>
      <c r="Z10" s="7">
        <v>4786.5481799999998</v>
      </c>
      <c r="AA10" s="7">
        <v>5123.0247599999993</v>
      </c>
      <c r="AB10" s="138">
        <v>4227.8601900000003</v>
      </c>
      <c r="AC10" s="7">
        <v>4304.8474299999998</v>
      </c>
      <c r="AD10" s="7">
        <v>4567.1575400000011</v>
      </c>
      <c r="AE10" s="7">
        <v>5246.8967300000004</v>
      </c>
      <c r="AF10" s="138">
        <v>6509.5617299999994</v>
      </c>
      <c r="AG10" s="7"/>
      <c r="AH10" s="7"/>
      <c r="AI10" s="7"/>
      <c r="AJ10" s="7"/>
      <c r="AK10" s="7"/>
      <c r="AL10" s="7"/>
      <c r="AM10" s="7"/>
      <c r="AN10" s="7"/>
    </row>
    <row r="11" spans="1:40" x14ac:dyDescent="0.3">
      <c r="A11" s="43" t="str">
        <f>HLOOKUP(Chosen,Hide!$A$181:$C$213, 10, FALSE)</f>
        <v>Należności z tytułu dostaw i usług oraz pozostałe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7749.7067399999996</v>
      </c>
      <c r="Q11" s="7">
        <v>4278</v>
      </c>
      <c r="R11" s="7">
        <v>8059</v>
      </c>
      <c r="S11" s="7">
        <v>7182.5125099999996</v>
      </c>
      <c r="T11" s="7">
        <v>6389.5447500000018</v>
      </c>
      <c r="U11" s="7">
        <v>6897.4304299999976</v>
      </c>
      <c r="V11" s="7">
        <v>7752.7930600000009</v>
      </c>
      <c r="W11" s="7">
        <v>6746.8239200000007</v>
      </c>
      <c r="X11" s="7">
        <v>8495.1690299999973</v>
      </c>
      <c r="Y11" s="7">
        <v>9684.3759599999976</v>
      </c>
      <c r="Z11" s="7">
        <v>16479.646719999997</v>
      </c>
      <c r="AA11" s="7">
        <v>25806.85974</v>
      </c>
      <c r="AB11" s="136">
        <v>34929.559609999997</v>
      </c>
      <c r="AC11" s="7">
        <v>37268.727559999999</v>
      </c>
      <c r="AD11" s="7">
        <v>47146.540630000003</v>
      </c>
      <c r="AE11" s="141">
        <v>45647.010692000003</v>
      </c>
      <c r="AF11" s="136">
        <v>50096.296621904759</v>
      </c>
      <c r="AG11" s="7"/>
      <c r="AH11" s="7"/>
      <c r="AI11" s="7"/>
      <c r="AJ11" s="7"/>
      <c r="AK11" s="7"/>
      <c r="AL11" s="7"/>
      <c r="AM11" s="7"/>
      <c r="AN11" s="7"/>
    </row>
    <row r="12" spans="1:40" x14ac:dyDescent="0.3">
      <c r="A12" s="43" t="str">
        <f>HLOOKUP(Chosen,Hide!$A$181:$C$213, 11, FALSE)</f>
        <v>Aktywa trwałe przeznaczone do sprzedaży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>
        <v>0</v>
      </c>
      <c r="AB12" s="136">
        <v>0</v>
      </c>
      <c r="AC12" s="7">
        <v>0</v>
      </c>
      <c r="AD12" s="7">
        <v>0</v>
      </c>
      <c r="AE12" s="7">
        <v>0</v>
      </c>
      <c r="AF12" s="136">
        <v>0</v>
      </c>
      <c r="AG12" s="7"/>
      <c r="AH12" s="7"/>
      <c r="AI12" s="7"/>
      <c r="AJ12" s="7"/>
      <c r="AK12" s="7"/>
      <c r="AL12" s="7"/>
      <c r="AM12" s="7"/>
      <c r="AN12" s="7"/>
    </row>
    <row r="13" spans="1:40" x14ac:dyDescent="0.3">
      <c r="A13" s="43" t="str">
        <f>HLOOKUP(Chosen,Hide!$A$181:$C$213, 12, FALSE)</f>
        <v>Aktywa finansowe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114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5942.2306900000003</v>
      </c>
      <c r="V13" s="7">
        <v>18198.507460000001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36">
        <v>0</v>
      </c>
      <c r="AC13" s="7">
        <v>0</v>
      </c>
      <c r="AD13" s="7">
        <v>0</v>
      </c>
      <c r="AE13" s="7">
        <v>0</v>
      </c>
      <c r="AF13" s="136">
        <v>0</v>
      </c>
      <c r="AG13" s="7"/>
      <c r="AH13" s="7"/>
      <c r="AI13" s="7"/>
      <c r="AJ13" s="7"/>
      <c r="AK13" s="7"/>
      <c r="AL13" s="7"/>
      <c r="AM13" s="7"/>
      <c r="AN13" s="7"/>
    </row>
    <row r="14" spans="1:40" x14ac:dyDescent="0.3">
      <c r="A14" s="43" t="str">
        <f>HLOOKUP(Chosen,Hide!$A$181:$C$213, 13, FALSE)</f>
        <v>Środki pieniężne i ich ekwiwalenty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4399.2346500000003</v>
      </c>
      <c r="Q14" s="7">
        <v>10204</v>
      </c>
      <c r="R14" s="7">
        <v>10367</v>
      </c>
      <c r="S14" s="7">
        <v>16172.459080000001</v>
      </c>
      <c r="T14" s="7">
        <v>11033.433230000001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>
        <v>9817.182859999999</v>
      </c>
      <c r="AB14" s="136">
        <v>4498.4924600000004</v>
      </c>
      <c r="AC14" s="7">
        <v>828.84388000000001</v>
      </c>
      <c r="AD14" s="7">
        <v>1383.2698599999999</v>
      </c>
      <c r="AE14" s="7">
        <v>3374.4782880000002</v>
      </c>
      <c r="AF14" s="136">
        <v>872.68114000000003</v>
      </c>
      <c r="AG14" s="7"/>
      <c r="AH14" s="7"/>
      <c r="AI14" s="7"/>
      <c r="AJ14" s="7"/>
      <c r="AK14" s="7"/>
      <c r="AL14" s="7"/>
      <c r="AM14" s="7"/>
      <c r="AN14" s="7"/>
    </row>
    <row r="15" spans="1:40" s="6" customFormat="1" x14ac:dyDescent="0.3">
      <c r="A15" s="44" t="str">
        <f>HLOOKUP(Chosen,Hide!$A$181:$C$213, 14, FALSE)</f>
        <v>Aktywa obrotowe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40033.925909999998</v>
      </c>
      <c r="T15" s="8">
        <v>34104.648940000006</v>
      </c>
      <c r="U15" s="8">
        <v>33677.289149972705</v>
      </c>
      <c r="V15" s="8">
        <v>49582.746079999997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8">
        <v>40747.067360000001</v>
      </c>
      <c r="AB15" s="137">
        <v>43655.912259999997</v>
      </c>
      <c r="AC15" s="137">
        <v>42402.51887</v>
      </c>
      <c r="AD15" s="137">
        <v>53097.068030000002</v>
      </c>
      <c r="AE15" s="137">
        <v>54268.385710000002</v>
      </c>
      <c r="AF15" s="137">
        <v>57478.539491904761</v>
      </c>
      <c r="AG15" s="7"/>
      <c r="AH15" s="5"/>
      <c r="AI15" s="5"/>
      <c r="AJ15" s="5"/>
      <c r="AK15" s="5"/>
      <c r="AL15" s="5"/>
      <c r="AM15" s="5"/>
      <c r="AN15" s="5"/>
    </row>
    <row r="16" spans="1:40" s="18" customFormat="1" x14ac:dyDescent="0.3">
      <c r="A16" s="45" t="str">
        <f>HLOOKUP(Chosen,Hide!$A$181:$C$213, 15, FALSE)</f>
        <v>AKTYWA RAZEM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224590.04168652781</v>
      </c>
      <c r="V16" s="17">
        <v>236251.66839000001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7">
        <v>234371.03061999998</v>
      </c>
      <c r="AB16" s="139">
        <v>237041.88082999998</v>
      </c>
      <c r="AC16" s="139">
        <v>231833.88562999998</v>
      </c>
      <c r="AD16" s="139">
        <v>249474.48211999997</v>
      </c>
      <c r="AE16" s="139">
        <v>237309.36523892137</v>
      </c>
      <c r="AF16" s="139">
        <v>245465.96803999998</v>
      </c>
      <c r="AG16" s="7"/>
      <c r="AH16" s="16"/>
      <c r="AI16" s="16"/>
      <c r="AJ16" s="16"/>
      <c r="AK16" s="16"/>
      <c r="AL16" s="16"/>
      <c r="AM16" s="16"/>
      <c r="AN16" s="16"/>
    </row>
    <row r="17" spans="1:40" x14ac:dyDescent="0.3">
      <c r="A17" s="46" t="str">
        <f>HLOOKUP(Chosen,Hide!$A$181:$C$213, 16, FALSE)</f>
        <v>Kapitał zakładowy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111">
        <v>361</v>
      </c>
      <c r="W17" s="111">
        <v>361</v>
      </c>
      <c r="X17" s="111">
        <v>360.65259999999995</v>
      </c>
      <c r="Y17" s="111">
        <v>360.65259999999995</v>
      </c>
      <c r="Z17" s="111">
        <v>360.65259999999995</v>
      </c>
      <c r="AA17" s="111">
        <v>432.78290000000004</v>
      </c>
      <c r="AB17" s="136">
        <v>432.78290000000004</v>
      </c>
      <c r="AC17" s="7">
        <v>432.78290000000004</v>
      </c>
      <c r="AD17" s="7">
        <v>432.78290000000004</v>
      </c>
      <c r="AE17" s="7">
        <v>432.78290000000004</v>
      </c>
      <c r="AF17" s="136">
        <v>432.78290000000004</v>
      </c>
      <c r="AG17" s="7"/>
      <c r="AH17" s="7"/>
      <c r="AI17" s="7"/>
      <c r="AJ17" s="7"/>
      <c r="AK17" s="7"/>
      <c r="AL17" s="7"/>
      <c r="AM17" s="7"/>
      <c r="AN17" s="7"/>
    </row>
    <row r="18" spans="1:40" x14ac:dyDescent="0.3">
      <c r="A18" s="46" t="str">
        <f>HLOOKUP(Chosen,Hide!$A$181:$C$213, 17, FALSE)</f>
        <v>Kapitał zapasowy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151090.64074999999</v>
      </c>
      <c r="T18" s="7">
        <v>151090.64074999999</v>
      </c>
      <c r="U18" s="7">
        <v>155393.66074999998</v>
      </c>
      <c r="V18" s="111">
        <v>155394</v>
      </c>
      <c r="W18" s="111">
        <v>166718.63295</v>
      </c>
      <c r="X18" s="111">
        <v>166718.63295</v>
      </c>
      <c r="Y18" s="111">
        <v>166718.63295</v>
      </c>
      <c r="Z18" s="111">
        <v>166718.63295</v>
      </c>
      <c r="AA18" s="111">
        <v>179225.7732</v>
      </c>
      <c r="AB18" s="136">
        <v>195819.7732</v>
      </c>
      <c r="AC18" s="7">
        <v>195819.55677000002</v>
      </c>
      <c r="AD18" s="7">
        <v>195819.55677000002</v>
      </c>
      <c r="AE18" s="7">
        <v>217024.77943</v>
      </c>
      <c r="AF18" s="136">
        <v>217024.77943</v>
      </c>
      <c r="AG18" s="7"/>
      <c r="AH18" s="7"/>
      <c r="AI18" s="7"/>
      <c r="AJ18" s="7"/>
      <c r="AK18" s="7"/>
      <c r="AL18" s="7"/>
      <c r="AM18" s="7"/>
      <c r="AN18" s="7"/>
    </row>
    <row r="19" spans="1:40" x14ac:dyDescent="0.3">
      <c r="A19" s="46" t="str">
        <f>HLOOKUP(Chosen,Hide!$A$181:$C$213, 18, FALSE)</f>
        <v>Kapitał z wyceny programu motywacyjnego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/>
      <c r="AH19" s="7"/>
      <c r="AI19" s="7"/>
      <c r="AJ19" s="7"/>
      <c r="AK19" s="7"/>
      <c r="AL19" s="7"/>
      <c r="AM19" s="7"/>
      <c r="AN19" s="7"/>
    </row>
    <row r="20" spans="1:40" x14ac:dyDescent="0.3">
      <c r="A20" s="46" t="str">
        <f>HLOOKUP(Chosen,Hide!$A$181:$C$213, 19, FALSE)</f>
        <v>Zyski zatrzymane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7389.1018400000039</v>
      </c>
      <c r="U20" s="7">
        <v>11325.272851001951</v>
      </c>
      <c r="V20" s="112">
        <v>16363.074439999999</v>
      </c>
      <c r="W20" s="112">
        <v>6934</v>
      </c>
      <c r="X20" s="112">
        <v>14661.473389999992</v>
      </c>
      <c r="Y20" s="112">
        <v>16593.783569999992</v>
      </c>
      <c r="Z20" s="112">
        <v>27596.95579</v>
      </c>
      <c r="AA20" s="112">
        <v>32643.294880000001</v>
      </c>
      <c r="AB20" s="136">
        <v>19910.048560000003</v>
      </c>
      <c r="AC20" s="7">
        <v>21205.222660000007</v>
      </c>
      <c r="AD20" s="7">
        <v>30303.496509999997</v>
      </c>
      <c r="AE20" s="7">
        <v>-5015.7263110785952</v>
      </c>
      <c r="AF20" s="136">
        <v>3835.5940200000014</v>
      </c>
      <c r="AG20" s="7"/>
      <c r="AH20" s="7"/>
      <c r="AI20" s="7"/>
      <c r="AJ20" s="7"/>
      <c r="AK20" s="7"/>
      <c r="AL20" s="7"/>
      <c r="AM20" s="7"/>
      <c r="AN20" s="7"/>
    </row>
    <row r="21" spans="1:40" s="6" customFormat="1" x14ac:dyDescent="0.3">
      <c r="A21" s="47" t="str">
        <f>HLOOKUP(Chosen,Hide!$A$181:$C$213, 20, FALSE)</f>
        <v>Kapitał własny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162291.39407000001</v>
      </c>
      <c r="Q21" s="8">
        <v>161885</v>
      </c>
      <c r="R21" s="8">
        <v>163487</v>
      </c>
      <c r="S21" s="8">
        <v>165345.52559999999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183673.61911999999</v>
      </c>
      <c r="Z21" s="8">
        <v>194676.50134000002</v>
      </c>
      <c r="AA21" s="8">
        <v>212301.85097999999</v>
      </c>
      <c r="AB21" s="137">
        <v>216162.60465999998</v>
      </c>
      <c r="AC21" s="137">
        <v>217457.56233000002</v>
      </c>
      <c r="AD21" s="137">
        <v>226555.83618000001</v>
      </c>
      <c r="AE21" s="137">
        <v>212441.8360189214</v>
      </c>
      <c r="AF21" s="137">
        <v>221294</v>
      </c>
      <c r="AG21" s="7"/>
      <c r="AH21" s="5"/>
      <c r="AI21" s="5"/>
      <c r="AJ21" s="5"/>
      <c r="AK21" s="5"/>
      <c r="AL21" s="5"/>
      <c r="AM21" s="5"/>
      <c r="AN21" s="5"/>
    </row>
    <row r="22" spans="1:40" x14ac:dyDescent="0.3">
      <c r="A22" s="46" t="str">
        <f>HLOOKUP(Chosen,Hide!$A$181:$C$213, 21, FALSE)</f>
        <v>Rezerwy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114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699.76148000000001</v>
      </c>
      <c r="T22" s="7">
        <v>653.86327000000006</v>
      </c>
      <c r="U22" s="7">
        <v>796.79106999999999</v>
      </c>
      <c r="V22" s="7">
        <v>917.38768999999991</v>
      </c>
      <c r="W22" s="7">
        <v>885.75797999999998</v>
      </c>
      <c r="X22" s="7">
        <v>822.5058499999999</v>
      </c>
      <c r="Y22" s="7">
        <v>715.85455000000002</v>
      </c>
      <c r="Z22" s="7">
        <v>744.03654000000006</v>
      </c>
      <c r="AA22" s="7">
        <v>862.58063000000004</v>
      </c>
      <c r="AB22" s="136">
        <v>732.70421999999996</v>
      </c>
      <c r="AC22" s="7">
        <v>899.36367000000007</v>
      </c>
      <c r="AD22" s="7">
        <v>1227.3132000000001</v>
      </c>
      <c r="AE22" s="156">
        <v>1573.89534</v>
      </c>
      <c r="AF22" s="136">
        <v>1148.4878900000001</v>
      </c>
      <c r="AG22" s="7"/>
      <c r="AH22" s="7"/>
      <c r="AI22" s="7"/>
      <c r="AJ22" s="7"/>
      <c r="AK22" s="7"/>
      <c r="AL22" s="7"/>
      <c r="AM22" s="7"/>
      <c r="AN22" s="7"/>
    </row>
    <row r="23" spans="1:40" x14ac:dyDescent="0.3">
      <c r="A23" s="46" t="str">
        <f>HLOOKUP(Chosen,Hide!$A$181:$C$213, 22, FALSE)</f>
        <v>Rezerwa z tytułu odroczonego podatku dochodowego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1212.0050000000001</v>
      </c>
      <c r="T23" s="7">
        <v>1289.796</v>
      </c>
      <c r="U23" s="7">
        <v>1465.0940000000001</v>
      </c>
      <c r="V23" s="7">
        <v>1828.606</v>
      </c>
      <c r="W23" s="7">
        <v>1906.4569999999999</v>
      </c>
      <c r="X23" s="7">
        <v>2629.942</v>
      </c>
      <c r="Y23" s="7">
        <v>2409.4670000000001</v>
      </c>
      <c r="Z23" s="7">
        <v>3561.5439999999999</v>
      </c>
      <c r="AA23" s="7">
        <v>3136.3490000000002</v>
      </c>
      <c r="AB23" s="140">
        <v>2820.8670000000002</v>
      </c>
      <c r="AC23" s="7">
        <v>2991.509</v>
      </c>
      <c r="AD23" s="7">
        <v>3635.9839999999999</v>
      </c>
      <c r="AE23" s="7">
        <v>3592.6219999999998</v>
      </c>
      <c r="AF23" s="140">
        <v>4662.9740000000002</v>
      </c>
      <c r="AG23" s="7"/>
      <c r="AH23" s="7"/>
      <c r="AI23" s="7"/>
      <c r="AJ23" s="7"/>
      <c r="AK23" s="7"/>
      <c r="AL23" s="7"/>
      <c r="AM23" s="7"/>
      <c r="AN23" s="7"/>
    </row>
    <row r="24" spans="1:40" x14ac:dyDescent="0.3">
      <c r="A24" s="46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9697.5250800000013</v>
      </c>
      <c r="Z24" s="7">
        <v>8444.0888800000012</v>
      </c>
      <c r="AA24" s="7">
        <v>6860.8222000000005</v>
      </c>
      <c r="AB24" s="141">
        <f>'[5]Pasywa - Jednostkowe'!$D$10</f>
        <v>5277.5555199999999</v>
      </c>
      <c r="AC24" s="7">
        <v>0</v>
      </c>
      <c r="AD24" s="7">
        <v>0</v>
      </c>
      <c r="AE24" s="7">
        <v>0</v>
      </c>
      <c r="AF24" s="141">
        <v>0</v>
      </c>
      <c r="AG24" s="7"/>
      <c r="AH24" s="7"/>
      <c r="AI24" s="7"/>
      <c r="AJ24" s="7"/>
      <c r="AK24" s="7"/>
      <c r="AL24" s="7"/>
      <c r="AM24" s="7"/>
      <c r="AN24" s="7"/>
    </row>
    <row r="25" spans="1:40" ht="28.8" x14ac:dyDescent="0.3">
      <c r="A25" s="46" t="str">
        <f>HLOOKUP(Chosen,Hide!$A$181:$C$216, 23, FALSE)</f>
        <v>Zobowiązania z tytułu obligacji i inne zobowiązania finansowe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49888.333129999999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3501.9878199999998</v>
      </c>
      <c r="W25" s="7">
        <v>3196.65218</v>
      </c>
      <c r="X25" s="7">
        <v>2959.9487100000001</v>
      </c>
      <c r="Y25" s="7">
        <v>2656.0831200000002</v>
      </c>
      <c r="Z25" s="7">
        <v>2745.3207599999996</v>
      </c>
      <c r="AA25" s="7">
        <v>2274.2122899999999</v>
      </c>
      <c r="AB25" s="140">
        <v>2079.03208</v>
      </c>
      <c r="AC25" s="7">
        <v>1953.2380500000002</v>
      </c>
      <c r="AD25" s="7">
        <v>1853.57752</v>
      </c>
      <c r="AE25" s="7">
        <v>1778.6354742761</v>
      </c>
      <c r="AF25" s="140">
        <v>1491.12361852761</v>
      </c>
      <c r="AG25" s="7"/>
      <c r="AH25" s="7"/>
      <c r="AI25" s="7"/>
      <c r="AJ25" s="7"/>
      <c r="AK25" s="7"/>
      <c r="AL25" s="7"/>
      <c r="AM25" s="7"/>
      <c r="AN25" s="7"/>
    </row>
    <row r="26" spans="1:40" x14ac:dyDescent="0.3">
      <c r="A26" s="46" t="str">
        <f>HLOOKUP(Chosen,Hide!$A$181:$C$216, 35, FALSE)</f>
        <v>Pozostałe zobowiązania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>
        <v>0</v>
      </c>
      <c r="AB26" s="140" t="s">
        <v>114</v>
      </c>
      <c r="AC26" s="7">
        <v>0</v>
      </c>
      <c r="AD26" s="7">
        <v>0</v>
      </c>
      <c r="AE26" s="7">
        <v>144.31960999999998</v>
      </c>
      <c r="AF26" s="140">
        <v>144.31960999999998</v>
      </c>
      <c r="AG26" s="7"/>
      <c r="AH26" s="7"/>
      <c r="AI26" s="7"/>
      <c r="AJ26" s="7"/>
      <c r="AK26" s="7"/>
      <c r="AL26" s="7"/>
      <c r="AM26" s="7"/>
      <c r="AN26" s="7"/>
    </row>
    <row r="27" spans="1:40" x14ac:dyDescent="0.3">
      <c r="A27" s="46" t="str">
        <f>HLOOKUP(Chosen,Hide!$A$181:$C$213, 24, FALSE)</f>
        <v>Rozliczenia międzyokresowe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239.39449999999999</v>
      </c>
      <c r="T27" s="7">
        <v>287.37938000000003</v>
      </c>
      <c r="U27" s="7">
        <v>385.88148000000007</v>
      </c>
      <c r="V27" s="7">
        <v>517.72914000000003</v>
      </c>
      <c r="W27" s="7">
        <v>686.05741</v>
      </c>
      <c r="X27" s="7">
        <v>856.33206999999993</v>
      </c>
      <c r="Y27" s="7">
        <v>1026.4480799999999</v>
      </c>
      <c r="Z27" s="7">
        <v>1075.72803</v>
      </c>
      <c r="AA27" s="7">
        <v>1210.1432399999999</v>
      </c>
      <c r="AB27" s="140">
        <v>1432.4394199999999</v>
      </c>
      <c r="AC27" s="7">
        <v>1592.8810900000001</v>
      </c>
      <c r="AD27" s="7">
        <v>1703.0327500000001</v>
      </c>
      <c r="AE27" s="7">
        <v>2131.3854200000001</v>
      </c>
      <c r="AF27" s="140">
        <v>2517.0025299999998</v>
      </c>
      <c r="AG27" s="7"/>
      <c r="AH27" s="7"/>
      <c r="AI27" s="7"/>
      <c r="AJ27" s="7"/>
      <c r="AK27" s="7"/>
      <c r="AL27" s="7"/>
      <c r="AM27" s="7"/>
      <c r="AN27" s="7"/>
    </row>
    <row r="28" spans="1:40" s="6" customFormat="1" x14ac:dyDescent="0.3">
      <c r="A28" s="48" t="str">
        <f>HLOOKUP(Chosen,Hide!$A$181:$C$213, 25, FALSE)</f>
        <v>Zobowiązania długoterminowe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2271.1609800000001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16505.377830000001</v>
      </c>
      <c r="Z28" s="8">
        <v>16570.718209999999</v>
      </c>
      <c r="AA28" s="8">
        <v>14344.10736</v>
      </c>
      <c r="AB28" s="137">
        <v>12342.598240000001</v>
      </c>
      <c r="AC28" s="137">
        <v>7436.9918100000004</v>
      </c>
      <c r="AD28" s="137">
        <v>8419.9074700000001</v>
      </c>
      <c r="AE28" s="137">
        <v>9220.8578442761009</v>
      </c>
      <c r="AF28" s="137">
        <v>9963</v>
      </c>
      <c r="AG28" s="7"/>
      <c r="AH28" s="5"/>
      <c r="AI28" s="5"/>
      <c r="AJ28" s="5"/>
      <c r="AK28" s="5"/>
      <c r="AL28" s="5"/>
      <c r="AM28" s="5"/>
      <c r="AN28" s="5"/>
    </row>
    <row r="29" spans="1:40" x14ac:dyDescent="0.3">
      <c r="A29" s="46" t="str">
        <f>HLOOKUP(Chosen,Hide!$A$181:$C$213, 26, FALSE)</f>
        <v>Kredyty i pożyczki</v>
      </c>
      <c r="B29" s="7">
        <v>16</v>
      </c>
      <c r="C29" s="7">
        <v>6</v>
      </c>
      <c r="D29" s="7">
        <v>17</v>
      </c>
      <c r="E29" s="7">
        <v>3</v>
      </c>
      <c r="F29" s="7">
        <v>19</v>
      </c>
      <c r="G29" s="7">
        <v>20</v>
      </c>
      <c r="H29" s="7">
        <v>39</v>
      </c>
      <c r="I29" s="7">
        <v>31</v>
      </c>
      <c r="J29" s="7">
        <v>14</v>
      </c>
      <c r="K29" s="7">
        <v>8</v>
      </c>
      <c r="L29" s="7">
        <v>6</v>
      </c>
      <c r="M29" s="7">
        <v>9</v>
      </c>
      <c r="N29" s="7">
        <v>658</v>
      </c>
      <c r="O29" s="7">
        <v>1410</v>
      </c>
      <c r="P29" s="7">
        <v>12.924950000000001</v>
      </c>
      <c r="Q29" s="7">
        <v>11</v>
      </c>
      <c r="R29" s="7">
        <v>8</v>
      </c>
      <c r="S29" s="7">
        <v>28.484269999999999</v>
      </c>
      <c r="T29" s="7">
        <v>31.491630000000001</v>
      </c>
      <c r="U29" s="7">
        <v>39.051010000000005</v>
      </c>
      <c r="V29" s="7">
        <v>41.895989999999998</v>
      </c>
      <c r="W29" s="7">
        <v>9514.3005199999989</v>
      </c>
      <c r="X29" s="7">
        <v>9557.1489000000001</v>
      </c>
      <c r="Y29" s="7">
        <v>2980.6109700000002</v>
      </c>
      <c r="Z29" s="7">
        <v>3024.7811000000002</v>
      </c>
      <c r="AA29" s="7">
        <v>3999.3808699999995</v>
      </c>
      <c r="AB29" s="136">
        <v>5030.2945100000006</v>
      </c>
      <c r="AC29" s="7">
        <v>2834.15807</v>
      </c>
      <c r="AD29" s="7">
        <v>11390.121710000001</v>
      </c>
      <c r="AE29" s="141">
        <v>12557.774529999999</v>
      </c>
      <c r="AF29" s="136">
        <v>10418.932839999999</v>
      </c>
      <c r="AG29" s="7"/>
      <c r="AH29" s="7"/>
      <c r="AI29" s="7"/>
      <c r="AJ29" s="7"/>
      <c r="AK29" s="7"/>
      <c r="AL29" s="7"/>
      <c r="AM29" s="7"/>
      <c r="AN29" s="7"/>
    </row>
    <row r="30" spans="1:40" ht="28.8" x14ac:dyDescent="0.3">
      <c r="A30" s="46" t="str">
        <f>HLOOKUP(Chosen,Hide!$A$181:$C$216, 23, FALSE)</f>
        <v>Zobowiązania z tytułu obligacji i inne zobowiązania finansowe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47535</v>
      </c>
      <c r="K30" s="7">
        <v>198</v>
      </c>
      <c r="L30" s="7">
        <v>1007</v>
      </c>
      <c r="M30" s="7">
        <v>335</v>
      </c>
      <c r="N30" s="7">
        <v>1014</v>
      </c>
      <c r="O30" s="7">
        <v>328</v>
      </c>
      <c r="P30" s="7">
        <v>1023.0000799999999</v>
      </c>
      <c r="Q30" s="7">
        <v>336</v>
      </c>
      <c r="R30" s="7">
        <v>1015</v>
      </c>
      <c r="S30" s="7">
        <v>50363.833149999999</v>
      </c>
      <c r="T30" s="7">
        <v>51104.333129999999</v>
      </c>
      <c r="U30" s="7">
        <v>50472.33311</v>
      </c>
      <c r="V30" s="7">
        <v>52207.354069999994</v>
      </c>
      <c r="W30" s="7">
        <v>1006.43551</v>
      </c>
      <c r="X30" s="7">
        <v>1054.8072500000001</v>
      </c>
      <c r="Y30" s="7">
        <v>1042.2175</v>
      </c>
      <c r="Z30" s="7">
        <v>831.32366999999999</v>
      </c>
      <c r="AA30" s="7">
        <v>990.53881000000001</v>
      </c>
      <c r="AB30" s="140">
        <v>918.94543999999996</v>
      </c>
      <c r="AC30" s="7">
        <v>874.89856000000009</v>
      </c>
      <c r="AD30" s="7">
        <v>879.00122999999996</v>
      </c>
      <c r="AE30" s="158">
        <v>1015</v>
      </c>
      <c r="AF30" s="140">
        <v>1065.8145999564099</v>
      </c>
      <c r="AG30" s="7"/>
      <c r="AH30" s="7"/>
      <c r="AI30" s="7"/>
      <c r="AJ30" s="7"/>
      <c r="AK30" s="7"/>
      <c r="AL30" s="7"/>
      <c r="AM30" s="7"/>
      <c r="AN30" s="7"/>
    </row>
    <row r="31" spans="1:40" ht="15.75" customHeight="1" x14ac:dyDescent="0.3">
      <c r="A31" s="46" t="str">
        <f>HLOOKUP(Chosen,Hide!$A$181:$C$213, 28, FALSE)</f>
        <v>Zobowiązania z tytułu dostaw i usług oraz pozostałe</v>
      </c>
      <c r="B31" s="7">
        <v>1033</v>
      </c>
      <c r="C31" s="7">
        <v>6512</v>
      </c>
      <c r="D31" s="7">
        <v>1089</v>
      </c>
      <c r="E31" s="7">
        <v>1073</v>
      </c>
      <c r="F31" s="7">
        <v>1629</v>
      </c>
      <c r="G31" s="7">
        <v>8344</v>
      </c>
      <c r="H31" s="7">
        <v>2909</v>
      </c>
      <c r="I31" s="7">
        <v>571</v>
      </c>
      <c r="J31" s="7">
        <v>5025</v>
      </c>
      <c r="K31" s="7">
        <v>7272</v>
      </c>
      <c r="L31" s="7">
        <v>2695</v>
      </c>
      <c r="M31" s="7">
        <v>34505</v>
      </c>
      <c r="N31" s="7">
        <v>1845</v>
      </c>
      <c r="O31" s="7">
        <v>8855</v>
      </c>
      <c r="P31" s="7">
        <v>8021.8158700000004</v>
      </c>
      <c r="Q31" s="7">
        <v>1326</v>
      </c>
      <c r="R31" s="7">
        <v>2188</v>
      </c>
      <c r="S31" s="7">
        <v>7656.4750000000004</v>
      </c>
      <c r="T31" s="7">
        <v>2449.8247300000003</v>
      </c>
      <c r="U31" s="7">
        <v>3956.4954055258577</v>
      </c>
      <c r="V31" s="7">
        <v>4802.9819655258598</v>
      </c>
      <c r="W31" s="7">
        <v>2600.5929000000001</v>
      </c>
      <c r="X31" s="7">
        <v>1466.9107499999998</v>
      </c>
      <c r="Y31" s="7">
        <v>1910.6772500000002</v>
      </c>
      <c r="Z31" s="7">
        <v>2117.4937299999997</v>
      </c>
      <c r="AA31" s="7">
        <v>2734.9366</v>
      </c>
      <c r="AB31" s="140">
        <v>2587.0379800000001</v>
      </c>
      <c r="AC31" s="7">
        <v>2988.4675400000001</v>
      </c>
      <c r="AD31" s="7">
        <v>2229.1155299999996</v>
      </c>
      <c r="AE31" s="141">
        <v>2072.8519999999999</v>
      </c>
      <c r="AF31" s="140">
        <v>2723.7966000000001</v>
      </c>
      <c r="AG31" s="7"/>
      <c r="AH31" s="7"/>
      <c r="AI31" s="7"/>
      <c r="AJ31" s="7"/>
      <c r="AK31" s="7"/>
      <c r="AL31" s="7"/>
      <c r="AM31" s="7"/>
      <c r="AN31" s="7"/>
    </row>
    <row r="32" spans="1:40" x14ac:dyDescent="0.3">
      <c r="A32" s="46" t="str">
        <f>HLOOKUP(Chosen,Hide!$A$181:$C$213, 29, FALSE)</f>
        <v>Zobowiązania z tytułu podatku dochodowego</v>
      </c>
      <c r="B32" s="7">
        <v>920</v>
      </c>
      <c r="C32" s="7">
        <v>544</v>
      </c>
      <c r="D32" s="7">
        <v>657</v>
      </c>
      <c r="E32" s="7">
        <v>0</v>
      </c>
      <c r="F32" s="7">
        <v>111</v>
      </c>
      <c r="G32" s="7">
        <v>0</v>
      </c>
      <c r="H32" s="7">
        <v>191</v>
      </c>
      <c r="I32" s="7">
        <v>281</v>
      </c>
      <c r="J32" s="7">
        <v>0</v>
      </c>
      <c r="K32" s="7">
        <v>0</v>
      </c>
      <c r="L32" s="7">
        <v>239</v>
      </c>
      <c r="M32" s="7">
        <v>357</v>
      </c>
      <c r="N32" s="7">
        <v>0</v>
      </c>
      <c r="O32" s="7">
        <v>0</v>
      </c>
      <c r="P32" s="7">
        <v>0</v>
      </c>
      <c r="Q32" s="7">
        <v>67</v>
      </c>
      <c r="R32" s="7">
        <v>28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197.49</v>
      </c>
      <c r="Y32" s="7">
        <v>0</v>
      </c>
      <c r="Z32" s="7">
        <v>0</v>
      </c>
      <c r="AA32" s="7">
        <v>0</v>
      </c>
      <c r="AB32" s="136">
        <v>0</v>
      </c>
      <c r="AC32" s="7">
        <v>0</v>
      </c>
      <c r="AD32" s="7">
        <v>0</v>
      </c>
      <c r="AE32" s="7">
        <v>0</v>
      </c>
      <c r="AF32" s="136">
        <v>0</v>
      </c>
      <c r="AG32" s="7"/>
      <c r="AH32" s="7"/>
      <c r="AI32" s="7"/>
      <c r="AJ32" s="7"/>
      <c r="AK32" s="7"/>
      <c r="AL32" s="7"/>
      <c r="AM32" s="7"/>
      <c r="AN32" s="7"/>
    </row>
    <row r="33" spans="1:40" x14ac:dyDescent="0.3">
      <c r="A33" s="46" t="str">
        <f>HLOOKUP(Chosen,Hide!$A$181:$C$213, 30, FALSE)</f>
        <v>Rozliczenia międzyokresowe</v>
      </c>
      <c r="B33" s="7">
        <v>2660</v>
      </c>
      <c r="C33" s="7">
        <v>2624</v>
      </c>
      <c r="D33" s="7">
        <v>2623</v>
      </c>
      <c r="E33" s="7">
        <v>2778</v>
      </c>
      <c r="F33" s="7">
        <v>2663</v>
      </c>
      <c r="G33" s="7">
        <v>2467</v>
      </c>
      <c r="H33" s="7">
        <v>3127</v>
      </c>
      <c r="I33" s="7">
        <v>2145</v>
      </c>
      <c r="J33" s="7">
        <v>3761</v>
      </c>
      <c r="K33" s="7">
        <v>787</v>
      </c>
      <c r="L33" s="7">
        <v>654</v>
      </c>
      <c r="M33" s="7">
        <v>509</v>
      </c>
      <c r="N33" s="7">
        <v>1985</v>
      </c>
      <c r="O33" s="7">
        <v>361</v>
      </c>
      <c r="P33" s="7">
        <v>366.76911999999999</v>
      </c>
      <c r="Q33" s="7">
        <v>315</v>
      </c>
      <c r="R33" s="7">
        <v>315</v>
      </c>
      <c r="S33" s="7">
        <v>314.55912000000001</v>
      </c>
      <c r="T33" s="7">
        <v>314.55912000000001</v>
      </c>
      <c r="U33" s="7">
        <v>314.55940999999996</v>
      </c>
      <c r="V33" s="7">
        <v>235.91963000000001</v>
      </c>
      <c r="W33" s="7">
        <v>157.52985000000001</v>
      </c>
      <c r="X33" s="7">
        <v>78.640070000000009</v>
      </c>
      <c r="Y33" s="7">
        <v>0</v>
      </c>
      <c r="Z33" s="7">
        <v>0</v>
      </c>
      <c r="AA33" s="7">
        <v>0</v>
      </c>
      <c r="AB33" s="136">
        <v>0</v>
      </c>
      <c r="AC33" s="7">
        <v>241.60732000000002</v>
      </c>
      <c r="AD33" s="7">
        <v>0</v>
      </c>
      <c r="AE33" s="7">
        <v>0</v>
      </c>
      <c r="AF33" s="136">
        <v>0</v>
      </c>
      <c r="AG33" s="7"/>
      <c r="AH33" s="7"/>
      <c r="AI33" s="7"/>
      <c r="AJ33" s="7"/>
      <c r="AK33" s="7"/>
      <c r="AL33" s="7"/>
      <c r="AM33" s="7"/>
      <c r="AN33" s="7"/>
    </row>
    <row r="34" spans="1:40" s="6" customFormat="1" x14ac:dyDescent="0.3">
      <c r="A34" s="48" t="str">
        <f>HLOOKUP(Chosen,Hide!$A$181:$C$213, 31, FALSE)</f>
        <v>Zobowiązania krótkoterminowe</v>
      </c>
      <c r="B34" s="8">
        <v>4629</v>
      </c>
      <c r="C34" s="8">
        <v>9686</v>
      </c>
      <c r="D34" s="8">
        <v>4386</v>
      </c>
      <c r="E34" s="8">
        <v>3854</v>
      </c>
      <c r="F34" s="8">
        <v>4422</v>
      </c>
      <c r="G34" s="8">
        <v>10831</v>
      </c>
      <c r="H34" s="8">
        <v>6266</v>
      </c>
      <c r="I34" s="8">
        <v>3028</v>
      </c>
      <c r="J34" s="8">
        <v>56335</v>
      </c>
      <c r="K34" s="8">
        <v>8265</v>
      </c>
      <c r="L34" s="8">
        <v>4601</v>
      </c>
      <c r="M34" s="8">
        <v>35715</v>
      </c>
      <c r="N34" s="8">
        <v>5502</v>
      </c>
      <c r="O34" s="8">
        <v>10954</v>
      </c>
      <c r="P34" s="8">
        <v>9424.5100200000015</v>
      </c>
      <c r="Q34" s="8">
        <v>2055</v>
      </c>
      <c r="R34" s="8">
        <v>3554</v>
      </c>
      <c r="S34" s="8">
        <v>58363.201539999995</v>
      </c>
      <c r="T34" s="8">
        <v>53900.208609999994</v>
      </c>
      <c r="U34" s="8">
        <v>54782.438935525861</v>
      </c>
      <c r="V34" s="8">
        <v>57288.151655525849</v>
      </c>
      <c r="W34" s="8">
        <v>13278.858779999999</v>
      </c>
      <c r="X34" s="8">
        <v>12354.996969999998</v>
      </c>
      <c r="Y34" s="8">
        <v>5933.505720000001</v>
      </c>
      <c r="Z34" s="8">
        <v>5973.4984999999997</v>
      </c>
      <c r="AA34" s="8">
        <v>7724.8562799999991</v>
      </c>
      <c r="AB34" s="137">
        <v>8536.2779300000002</v>
      </c>
      <c r="AC34" s="137">
        <v>6939.1314900000007</v>
      </c>
      <c r="AD34" s="152">
        <v>14498.23847</v>
      </c>
      <c r="AE34" s="152">
        <v>15646</v>
      </c>
      <c r="AF34" s="137">
        <v>14208.544039956409</v>
      </c>
      <c r="AG34" s="7"/>
      <c r="AH34" s="5"/>
      <c r="AI34" s="5"/>
      <c r="AJ34" s="5"/>
      <c r="AK34" s="5"/>
      <c r="AL34" s="5"/>
      <c r="AM34" s="5"/>
      <c r="AN34" s="5"/>
    </row>
    <row r="35" spans="1:40" s="6" customFormat="1" x14ac:dyDescent="0.3">
      <c r="A35" s="48" t="str">
        <f>HLOOKUP(Chosen,Hide!$A$181:$C$213, 32, FALSE)</f>
        <v>Zobowiązania razem</v>
      </c>
      <c r="B35" s="8">
        <v>5389</v>
      </c>
      <c r="C35" s="8">
        <v>9910</v>
      </c>
      <c r="D35" s="8">
        <v>4608</v>
      </c>
      <c r="E35" s="8">
        <v>4100</v>
      </c>
      <c r="F35" s="8">
        <v>4734</v>
      </c>
      <c r="G35" s="8">
        <v>11200</v>
      </c>
      <c r="H35" s="8">
        <v>6442</v>
      </c>
      <c r="I35" s="8">
        <v>3078</v>
      </c>
      <c r="J35" s="8">
        <v>56354</v>
      </c>
      <c r="K35" s="8">
        <v>60127</v>
      </c>
      <c r="L35" s="8">
        <v>55629</v>
      </c>
      <c r="M35" s="8">
        <v>88058</v>
      </c>
      <c r="N35" s="8">
        <v>57104</v>
      </c>
      <c r="O35" s="8">
        <v>63312</v>
      </c>
      <c r="P35" s="8">
        <v>61495.721019999997</v>
      </c>
      <c r="Q35" s="8">
        <v>53537</v>
      </c>
      <c r="R35" s="8">
        <v>55509</v>
      </c>
      <c r="S35" s="8">
        <v>60634.242519999993</v>
      </c>
      <c r="T35" s="8">
        <v>56211.247259999996</v>
      </c>
      <c r="U35" s="8">
        <v>57510.205485525861</v>
      </c>
      <c r="V35" s="8">
        <v>64133.86230552585</v>
      </c>
      <c r="W35" s="8">
        <v>27909.983349999995</v>
      </c>
      <c r="X35" s="8">
        <v>25204.825599999996</v>
      </c>
      <c r="Y35" s="8">
        <v>22438.883550000002</v>
      </c>
      <c r="Z35" s="8">
        <v>22544.216710000001</v>
      </c>
      <c r="AA35" s="8">
        <v>22068.963639999998</v>
      </c>
      <c r="AB35" s="142">
        <v>20878.876170000003</v>
      </c>
      <c r="AC35" s="142">
        <v>14376.123300000001</v>
      </c>
      <c r="AD35" s="152">
        <v>22918.145940000002</v>
      </c>
      <c r="AE35" s="152">
        <v>24867.029177913289</v>
      </c>
      <c r="AF35" s="142">
        <v>24172</v>
      </c>
      <c r="AG35" s="7"/>
      <c r="AH35" s="5"/>
      <c r="AI35" s="5"/>
      <c r="AJ35" s="5"/>
      <c r="AK35" s="5"/>
      <c r="AL35" s="5"/>
      <c r="AM35" s="5"/>
      <c r="AN35" s="5"/>
    </row>
    <row r="36" spans="1:40" s="18" customFormat="1" x14ac:dyDescent="0.3">
      <c r="A36" s="18" t="str">
        <f>HLOOKUP(Chosen,Hide!$A$181:$C$213, 33, FALSE)</f>
        <v>PASYWA RAZEM</v>
      </c>
      <c r="B36" s="17">
        <v>90089</v>
      </c>
      <c r="C36" s="17">
        <v>93811</v>
      </c>
      <c r="D36" s="17">
        <v>92606</v>
      </c>
      <c r="E36" s="17">
        <v>94892</v>
      </c>
      <c r="F36" s="17">
        <v>100593</v>
      </c>
      <c r="G36" s="17">
        <v>106770</v>
      </c>
      <c r="H36" s="17">
        <v>104772</v>
      </c>
      <c r="I36" s="17">
        <v>102266</v>
      </c>
      <c r="J36" s="17">
        <v>183309</v>
      </c>
      <c r="K36" s="17">
        <v>187942</v>
      </c>
      <c r="L36" s="17">
        <v>186525</v>
      </c>
      <c r="M36" s="17">
        <v>257844</v>
      </c>
      <c r="N36" s="17">
        <v>228696</v>
      </c>
      <c r="O36" s="17">
        <v>224226</v>
      </c>
      <c r="P36" s="17">
        <v>223787.11509000001</v>
      </c>
      <c r="Q36" s="17">
        <v>215422</v>
      </c>
      <c r="R36" s="17">
        <v>218996</v>
      </c>
      <c r="S36" s="17">
        <v>225979.76811999999</v>
      </c>
      <c r="T36" s="17">
        <v>222590.75245</v>
      </c>
      <c r="U36" s="17">
        <v>224590.29168652781</v>
      </c>
      <c r="V36" s="17">
        <v>236251.79674552585</v>
      </c>
      <c r="W36" s="17">
        <v>201923.61629999999</v>
      </c>
      <c r="X36" s="17">
        <v>206945.58454000001</v>
      </c>
      <c r="Y36" s="17">
        <v>206112.50266999999</v>
      </c>
      <c r="Z36" s="17">
        <v>217220.71805000002</v>
      </c>
      <c r="AA36" s="17">
        <v>234370.81461999999</v>
      </c>
      <c r="AB36" s="139">
        <v>237041.68083</v>
      </c>
      <c r="AC36" s="139">
        <v>231833.68563000002</v>
      </c>
      <c r="AD36" s="153">
        <v>249473.98212</v>
      </c>
      <c r="AE36" s="153">
        <v>237308.8651968347</v>
      </c>
      <c r="AF36" s="139">
        <v>245466.10803848403</v>
      </c>
      <c r="AG36" s="7"/>
      <c r="AH36" s="16"/>
      <c r="AI36" s="16"/>
      <c r="AJ36" s="16"/>
      <c r="AK36" s="16"/>
      <c r="AL36" s="16"/>
      <c r="AM36" s="16"/>
      <c r="AN36" s="16"/>
    </row>
    <row r="37" spans="1:40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x14ac:dyDescent="0.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3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2:40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2:40" x14ac:dyDescent="0.3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2:40" x14ac:dyDescent="0.3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2:40" x14ac:dyDescent="0.3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2:40" x14ac:dyDescent="0.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2:40" x14ac:dyDescent="0.3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2:40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2:40" x14ac:dyDescent="0.3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2:40" x14ac:dyDescent="0.3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2:40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2:40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2:40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2:40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2:40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2:40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2:40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2:40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2:40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2:40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2:40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2:40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2:40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2:40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2:40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2:40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2:40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2:40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2:40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2:40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2:40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2:40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2:40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2:40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2:40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2:40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2:40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2:40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0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0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2:40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2:40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2:40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2:40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2:40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2:40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2:40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2:40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 xr:uid="{00000000-0004-0000-0500-000000000000}"/>
  </hyperlinks>
  <pageMargins left="0.7" right="0.7" top="0.75" bottom="0.75" header="0.3" footer="0.3"/>
  <pageSetup paperSize="9" orientation="portrait" r:id="rId1"/>
  <ignoredErrors>
    <ignoredError sqref="AB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8" tint="0.79998168889431442"/>
  </sheetPr>
  <dimension ref="A1:BI37"/>
  <sheetViews>
    <sheetView showGridLines="0" workbookViewId="0">
      <pane xSplit="1" ySplit="2" topLeftCell="AJ3" activePane="bottomRight" state="frozen"/>
      <selection activeCell="A17" sqref="A17"/>
      <selection pane="topRight" activeCell="A17" sqref="A17"/>
      <selection pane="bottomLeft" activeCell="A17" sqref="A17"/>
      <selection pane="bottomRight" activeCell="AM23" sqref="AM23"/>
    </sheetView>
  </sheetViews>
  <sheetFormatPr defaultColWidth="9.33203125" defaultRowHeight="14.4" outlineLevelCol="1" x14ac:dyDescent="0.3"/>
  <cols>
    <col min="1" max="1" width="64.44140625" style="2" customWidth="1"/>
    <col min="2" max="5" width="10.44140625" style="2" hidden="1" customWidth="1" outlineLevel="1"/>
    <col min="6" max="6" width="10.44140625" style="2" customWidth="1" collapsed="1"/>
    <col min="7" max="10" width="10.44140625" style="2" hidden="1" customWidth="1" outlineLevel="1"/>
    <col min="11" max="11" width="10.44140625" style="2" customWidth="1" collapsed="1"/>
    <col min="12" max="15" width="10.44140625" style="2" hidden="1" customWidth="1" outlineLevel="1"/>
    <col min="16" max="16" width="10.44140625" style="2" customWidth="1" collapsed="1"/>
    <col min="17" max="19" width="10.44140625" style="2" hidden="1" customWidth="1" outlineLevel="1"/>
    <col min="20" max="20" width="9.33203125" style="2" hidden="1" customWidth="1" outlineLevel="1"/>
    <col min="21" max="21" width="9.33203125" style="2" collapsed="1"/>
    <col min="22" max="25" width="9.33203125" style="2" hidden="1" customWidth="1" outlineLevel="1"/>
    <col min="26" max="26" width="9.33203125" style="2" collapsed="1"/>
    <col min="27" max="30" width="9.33203125" style="2" hidden="1" customWidth="1" outlineLevel="1"/>
    <col min="31" max="31" width="9.33203125" style="2" customWidth="1" collapsed="1"/>
    <col min="32" max="35" width="9.33203125" style="2" customWidth="1" outlineLevel="1"/>
    <col min="36" max="16384" width="9.33203125" style="2"/>
  </cols>
  <sheetData>
    <row r="1" spans="1:61" x14ac:dyDescent="0.3">
      <c r="A1" s="3" t="str">
        <f>HLOOKUP(Chosen,Hide!$A$9:$C$11, 2, FALSE)</f>
        <v>SPIS TREŚCI</v>
      </c>
    </row>
    <row r="2" spans="1:61" s="32" customFormat="1" x14ac:dyDescent="0.3">
      <c r="A2" s="90" t="str">
        <f>HLOOKUP(Chosen,Hide!$A$64:$C$99, 36, FALSE)</f>
        <v>tys. PLN</v>
      </c>
      <c r="B2" s="33" t="s">
        <v>3</v>
      </c>
      <c r="C2" s="33" t="s">
        <v>4</v>
      </c>
      <c r="D2" s="33" t="s">
        <v>5</v>
      </c>
      <c r="E2" s="33" t="s">
        <v>6</v>
      </c>
      <c r="F2" s="57">
        <v>2014</v>
      </c>
      <c r="G2" s="33" t="s">
        <v>7</v>
      </c>
      <c r="H2" s="33" t="s">
        <v>8</v>
      </c>
      <c r="I2" s="33" t="s">
        <v>9</v>
      </c>
      <c r="J2" s="33" t="s">
        <v>10</v>
      </c>
      <c r="K2" s="57">
        <v>2015</v>
      </c>
      <c r="L2" s="33" t="s">
        <v>11</v>
      </c>
      <c r="M2" s="33" t="s">
        <v>12</v>
      </c>
      <c r="N2" s="33" t="s">
        <v>13</v>
      </c>
      <c r="O2" s="33" t="s">
        <v>14</v>
      </c>
      <c r="P2" s="57">
        <v>2016</v>
      </c>
      <c r="Q2" s="33" t="s">
        <v>15</v>
      </c>
      <c r="R2" s="33" t="s">
        <v>112</v>
      </c>
      <c r="S2" s="33" t="s">
        <v>322</v>
      </c>
      <c r="T2" s="33" t="s">
        <v>325</v>
      </c>
      <c r="U2" s="57">
        <v>2017</v>
      </c>
      <c r="V2" s="33" t="s">
        <v>328</v>
      </c>
      <c r="W2" s="33" t="s">
        <v>340</v>
      </c>
      <c r="X2" s="33" t="s">
        <v>347</v>
      </c>
      <c r="Y2" s="33" t="s">
        <v>357</v>
      </c>
      <c r="Z2" s="57">
        <v>2018</v>
      </c>
      <c r="AA2" s="33" t="s">
        <v>361</v>
      </c>
      <c r="AB2" s="33" t="s">
        <v>362</v>
      </c>
      <c r="AC2" s="33" t="s">
        <v>363</v>
      </c>
      <c r="AD2" s="33" t="s">
        <v>364</v>
      </c>
      <c r="AE2" s="57">
        <v>2019</v>
      </c>
      <c r="AF2" s="33" t="s">
        <v>386</v>
      </c>
      <c r="AG2" s="33" t="s">
        <v>391</v>
      </c>
      <c r="AH2" s="33" t="s">
        <v>401</v>
      </c>
      <c r="AI2" s="33" t="s">
        <v>403</v>
      </c>
      <c r="AJ2" s="57">
        <v>2020</v>
      </c>
      <c r="AK2" s="33" t="s">
        <v>409</v>
      </c>
      <c r="AL2" s="33" t="s">
        <v>414</v>
      </c>
      <c r="AM2" s="33" t="s">
        <v>413</v>
      </c>
    </row>
    <row r="3" spans="1:61" s="6" customFormat="1" x14ac:dyDescent="0.3">
      <c r="A3" s="36" t="str">
        <f>HLOOKUP(Chosen,Hide!$A$157:$C$178, 2, FALSE)</f>
        <v>Przychody ze sprzedaży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9107.5041899999997</v>
      </c>
      <c r="T3" s="5">
        <f>U3-SUM(Q3:S3)</f>
        <v>9881.4958100000003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5">
        <v>42906.022960000002</v>
      </c>
      <c r="AA3" s="5">
        <v>13373.327359999999</v>
      </c>
      <c r="AB3" s="5">
        <v>11344.901530000003</v>
      </c>
      <c r="AC3" s="5">
        <v>12005.450019999993</v>
      </c>
      <c r="AD3" s="5">
        <v>12262.205690000003</v>
      </c>
      <c r="AE3" s="5">
        <v>48985.884599999998</v>
      </c>
      <c r="AF3" s="5">
        <v>13449.058519999999</v>
      </c>
      <c r="AG3" s="5">
        <v>12497.847550000002</v>
      </c>
      <c r="AH3" s="143">
        <v>13117.969359999999</v>
      </c>
      <c r="AI3" s="143">
        <v>12625.701050000003</v>
      </c>
      <c r="AJ3" s="143">
        <v>51690.576480000003</v>
      </c>
      <c r="AK3" s="143">
        <v>11134.838639999998</v>
      </c>
      <c r="AL3" s="5">
        <v>10367.377040000003</v>
      </c>
      <c r="AM3" s="5">
        <v>11023.366319999997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x14ac:dyDescent="0.3">
      <c r="A4" s="37" t="str">
        <f>HLOOKUP(Chosen,Hide!$A$157:$C$178, 3, FALSE)</f>
        <v>Zużycie surowców i materiałów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-770.48945000000049</v>
      </c>
      <c r="T4" s="7">
        <f t="shared" ref="T4:T21" si="0">U4-SUM(Q4:S4)</f>
        <v>-1031.5105499999991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7">
        <v>-6433.5072499999997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7">
        <v>-6204.8380399999996</v>
      </c>
      <c r="AF4" s="7">
        <v>-1979.8189199999999</v>
      </c>
      <c r="AG4" s="7">
        <v>-806.02318000000037</v>
      </c>
      <c r="AH4" s="144">
        <v>-2007.7469799999994</v>
      </c>
      <c r="AI4" s="144">
        <v>-1786.3326900000006</v>
      </c>
      <c r="AJ4" s="144">
        <v>-6579.9217699999999</v>
      </c>
      <c r="AK4" s="144">
        <v>-2287.3025499999999</v>
      </c>
      <c r="AL4" s="7">
        <v>-1860.7981800000002</v>
      </c>
      <c r="AM4" s="7">
        <v>-2138.8908799999999</v>
      </c>
      <c r="AN4" s="5"/>
      <c r="AO4" s="5"/>
      <c r="AP4" s="5"/>
      <c r="AQ4" s="5"/>
      <c r="AR4" s="7"/>
      <c r="AS4" s="5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3">
      <c r="A5" s="37" t="str">
        <f>HLOOKUP(Chosen,Hide!$A$157:$C$178, 4, FALSE)</f>
        <v>Świadczenia pracownicze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-3636.1424500000012</v>
      </c>
      <c r="T5" s="7">
        <f t="shared" si="0"/>
        <v>-4190.8575499999988</v>
      </c>
      <c r="U5" s="7">
        <v>-17243</v>
      </c>
      <c r="V5" s="7">
        <v>-3505</v>
      </c>
      <c r="W5" s="7">
        <v>-4197.5300999999999</v>
      </c>
      <c r="X5" s="7">
        <v>-4346.2805399999997</v>
      </c>
      <c r="Y5" s="7">
        <v>-3233.8156055258551</v>
      </c>
      <c r="Z5" s="7">
        <v>-15282.626245525855</v>
      </c>
      <c r="AA5" s="7">
        <v>-3667.4481500000002</v>
      </c>
      <c r="AB5" s="7">
        <v>-2686.4485099999997</v>
      </c>
      <c r="AC5" s="7">
        <v>-3608.8514599999994</v>
      </c>
      <c r="AD5" s="7">
        <v>-3187.5101099999993</v>
      </c>
      <c r="AE5" s="7">
        <v>-13150.258229999999</v>
      </c>
      <c r="AF5" s="7">
        <v>-2941.7346299999999</v>
      </c>
      <c r="AG5" s="7">
        <v>-2015.1834800000006</v>
      </c>
      <c r="AH5" s="144">
        <v>-2670.936099999999</v>
      </c>
      <c r="AI5" s="144">
        <v>-2590.3996400000015</v>
      </c>
      <c r="AJ5" s="144">
        <v>-10218.253850000001</v>
      </c>
      <c r="AK5" s="144">
        <v>-2426.6529500000001</v>
      </c>
      <c r="AL5" s="7">
        <v>-3439.2701499999998</v>
      </c>
      <c r="AM5" s="7">
        <v>-2461.1949199999999</v>
      </c>
      <c r="AN5" s="5"/>
      <c r="AO5" s="5"/>
      <c r="AP5" s="5"/>
      <c r="AQ5" s="5"/>
      <c r="AR5" s="7"/>
      <c r="AS5" s="5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x14ac:dyDescent="0.3">
      <c r="A6" s="37" t="str">
        <f>HLOOKUP(Chosen,Hide!$A$157:$C$178, 5, FALSE)</f>
        <v>Amortyzacja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-249.55939000000001</v>
      </c>
      <c r="T6" s="7">
        <f t="shared" si="0"/>
        <v>-256.44060999999999</v>
      </c>
      <c r="U6" s="7">
        <v>-1267</v>
      </c>
      <c r="V6" s="7">
        <v>-275</v>
      </c>
      <c r="W6" s="7">
        <v>-263.70011999999991</v>
      </c>
      <c r="X6" s="7">
        <v>-307.49125000000004</v>
      </c>
      <c r="Y6" s="7">
        <v>-327.25098000000025</v>
      </c>
      <c r="Z6" s="7">
        <v>-1173.4423500000003</v>
      </c>
      <c r="AA6" s="7">
        <v>-610.45862999999997</v>
      </c>
      <c r="AB6" s="7">
        <v>-784.6807</v>
      </c>
      <c r="AC6" s="7">
        <v>-861.33973999999989</v>
      </c>
      <c r="AD6" s="7">
        <v>-858.78713000000016</v>
      </c>
      <c r="AE6" s="7">
        <v>-3115.2662</v>
      </c>
      <c r="AF6" s="7">
        <v>-616.1309399999999</v>
      </c>
      <c r="AG6" s="7">
        <v>-691.72056000000009</v>
      </c>
      <c r="AH6" s="144">
        <v>-696.90232000000015</v>
      </c>
      <c r="AI6" s="144">
        <v>-795.59228999999959</v>
      </c>
      <c r="AJ6" s="144">
        <v>-2800.34611</v>
      </c>
      <c r="AK6" s="144">
        <v>-1022.1092199999999</v>
      </c>
      <c r="AL6" s="7">
        <v>-1018.1936899999999</v>
      </c>
      <c r="AM6" s="7">
        <v>-990.18904999999995</v>
      </c>
      <c r="AN6" s="5"/>
      <c r="AO6" s="5"/>
      <c r="AP6" s="5"/>
      <c r="AQ6" s="5"/>
      <c r="AR6" s="7"/>
      <c r="AS6" s="5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x14ac:dyDescent="0.3">
      <c r="A7" s="37" t="str">
        <f>HLOOKUP(Chosen,Hide!$A$157:$C$178, 6, FALSE)</f>
        <v>Usługi obce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-2431.4949299999998</v>
      </c>
      <c r="X7" s="7">
        <v>-2719.5127700000003</v>
      </c>
      <c r="Y7" s="7">
        <v>-2614.7678599999999</v>
      </c>
      <c r="Z7" s="7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-2126.3014899999998</v>
      </c>
      <c r="AE7" s="7">
        <v>-7942.3911900000003</v>
      </c>
      <c r="AF7" s="7">
        <v>-1724.6738500000001</v>
      </c>
      <c r="AG7" s="7">
        <v>-1816.8568599999999</v>
      </c>
      <c r="AH7" s="144">
        <v>-1805.9505599999993</v>
      </c>
      <c r="AI7" s="144">
        <v>-1971.0323200000003</v>
      </c>
      <c r="AJ7" s="144">
        <v>-7318.5135899999996</v>
      </c>
      <c r="AK7" s="144">
        <v>-1818.76918</v>
      </c>
      <c r="AL7" s="7">
        <v>-1897.6215099999997</v>
      </c>
      <c r="AM7" s="7">
        <v>-1805.5474200000006</v>
      </c>
      <c r="AN7" s="5"/>
      <c r="AO7" s="5"/>
      <c r="AP7" s="5"/>
      <c r="AQ7" s="5"/>
      <c r="AR7" s="7"/>
      <c r="AS7" s="5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x14ac:dyDescent="0.3">
      <c r="A8" s="38" t="str">
        <f>HLOOKUP(Chosen,Hide!$A$157:$C$178, 7, FALSE)</f>
        <v>Pozostałe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-279.20740999999998</v>
      </c>
      <c r="T8" s="7">
        <f t="shared" si="0"/>
        <v>-198.79259000000002</v>
      </c>
      <c r="U8" s="7">
        <v>-1774</v>
      </c>
      <c r="V8" s="7">
        <v>-256</v>
      </c>
      <c r="W8" s="7">
        <v>-1099.4751900000001</v>
      </c>
      <c r="X8" s="7">
        <v>-240.70147999999995</v>
      </c>
      <c r="Y8" s="7">
        <v>-347.35015999999996</v>
      </c>
      <c r="Z8" s="7">
        <v>-1942.52683</v>
      </c>
      <c r="AA8" s="7">
        <v>-267.50402000000003</v>
      </c>
      <c r="AB8" s="7">
        <v>-374.78394999999995</v>
      </c>
      <c r="AC8" s="7">
        <v>-219.69647000000009</v>
      </c>
      <c r="AD8" s="7">
        <v>-180.53554999999994</v>
      </c>
      <c r="AE8" s="7">
        <v>-1042.51999</v>
      </c>
      <c r="AF8" s="7">
        <v>-113.48452</v>
      </c>
      <c r="AG8" s="7">
        <v>-63.903240000000011</v>
      </c>
      <c r="AH8" s="144">
        <v>-88.101479999999981</v>
      </c>
      <c r="AI8" s="144">
        <v>-105.53531999999998</v>
      </c>
      <c r="AJ8" s="144">
        <v>-371.02456000000001</v>
      </c>
      <c r="AK8" s="144">
        <v>-60.854669999999999</v>
      </c>
      <c r="AL8" s="7">
        <v>-134.52247000000003</v>
      </c>
      <c r="AM8" s="7">
        <v>-116.29688000000002</v>
      </c>
      <c r="AN8" s="5"/>
      <c r="AO8" s="5"/>
      <c r="AP8" s="5"/>
      <c r="AQ8" s="5"/>
      <c r="AR8" s="7"/>
      <c r="AS8" s="5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6" customFormat="1" x14ac:dyDescent="0.3">
      <c r="A9" s="39" t="str">
        <f>HLOOKUP(Chosen,Hide!$A$157:$C$178, 8, FALSE)</f>
        <v>Koszt własny razem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-7257.0678399999961</v>
      </c>
      <c r="U9" s="8">
        <v>-32381</v>
      </c>
      <c r="V9" s="8">
        <v>-7270</v>
      </c>
      <c r="W9" s="8">
        <v>-9351.3465199999991</v>
      </c>
      <c r="X9" s="8">
        <v>-8964.9934099999991</v>
      </c>
      <c r="Y9" s="8">
        <v>-8621.5383055258608</v>
      </c>
      <c r="Z9" s="8">
        <v>-34207.878235525859</v>
      </c>
      <c r="AA9" s="8">
        <v>-9422.4930800000002</v>
      </c>
      <c r="AB9" s="8">
        <v>-6894.6527299999998</v>
      </c>
      <c r="AC9" s="8">
        <v>-7675.6792199999991</v>
      </c>
      <c r="AD9" s="8">
        <v>-7462.4486200000028</v>
      </c>
      <c r="AE9" s="8">
        <v>-31455.273650000003</v>
      </c>
      <c r="AF9" s="8">
        <v>-7376.1928600000001</v>
      </c>
      <c r="AG9" s="8">
        <v>-5393.6873200000009</v>
      </c>
      <c r="AH9" s="145">
        <v>-7269.6374399999986</v>
      </c>
      <c r="AI9" s="145">
        <v>-7248.542260000002</v>
      </c>
      <c r="AJ9" s="145">
        <v>-27288.059880000001</v>
      </c>
      <c r="AK9" s="145">
        <v>-7615.6885700000003</v>
      </c>
      <c r="AL9" s="145">
        <v>-8350.6059999999998</v>
      </c>
      <c r="AM9" s="145">
        <v>-7512.1191500000004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6" customFormat="1" x14ac:dyDescent="0.3">
      <c r="A10" s="36" t="str">
        <f>HLOOKUP(Chosen,Hide!$A$157:$C$178, 9, FALSE)</f>
        <v>Zysk/(strata) na sprzedaży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3693.2327144741412</v>
      </c>
      <c r="Z10" s="8">
        <v>8698.144724474143</v>
      </c>
      <c r="AA10" s="8">
        <v>3950.8342799999991</v>
      </c>
      <c r="AB10" s="8">
        <v>4450.248800000003</v>
      </c>
      <c r="AC10" s="8">
        <v>4329.4907999999941</v>
      </c>
      <c r="AD10" s="8">
        <v>4800.0370699999985</v>
      </c>
      <c r="AE10" s="8">
        <v>17530.610949999995</v>
      </c>
      <c r="AF10" s="8">
        <v>6072.8656599999986</v>
      </c>
      <c r="AG10" s="8">
        <v>7104.1602300000013</v>
      </c>
      <c r="AH10" s="145">
        <v>5848.3319200000005</v>
      </c>
      <c r="AI10" s="145">
        <v>5377.1587900000013</v>
      </c>
      <c r="AJ10" s="145">
        <v>24402.516600000003</v>
      </c>
      <c r="AK10" s="145">
        <v>3519.1500699999979</v>
      </c>
      <c r="AL10" s="145">
        <v>2016.7710400000033</v>
      </c>
      <c r="AM10" s="145">
        <v>3511.2471699999969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3">
      <c r="A11" s="40" t="str">
        <f>HLOOKUP(Chosen,Hide!$A$157:$C$178, 10, FALSE)</f>
        <v>Pozostałe przychody operacyjne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79.244390000000067</v>
      </c>
      <c r="U11" s="7">
        <v>749</v>
      </c>
      <c r="V11" s="7">
        <v>87</v>
      </c>
      <c r="W11" s="7">
        <v>79.128119999999996</v>
      </c>
      <c r="X11" s="7">
        <v>88.772719999999993</v>
      </c>
      <c r="Y11" s="7">
        <v>81.428380000000033</v>
      </c>
      <c r="Z11" s="7">
        <v>336.32922000000002</v>
      </c>
      <c r="AA11" s="7">
        <v>524.29660000000001</v>
      </c>
      <c r="AB11" s="7">
        <v>81.158340000000067</v>
      </c>
      <c r="AC11" s="7">
        <v>83.568759999999884</v>
      </c>
      <c r="AD11" s="7">
        <v>86.926249999999982</v>
      </c>
      <c r="AE11" s="7">
        <v>775.94994999999994</v>
      </c>
      <c r="AF11" s="7">
        <v>0.6692800000000001</v>
      </c>
      <c r="AG11" s="7">
        <v>3.9445399999999995</v>
      </c>
      <c r="AH11" s="136">
        <v>4.92936</v>
      </c>
      <c r="AI11" s="136">
        <v>-0.11272000000000215</v>
      </c>
      <c r="AJ11" s="136">
        <v>9.4304599999999983</v>
      </c>
      <c r="AK11" s="136">
        <v>13.086110000000001</v>
      </c>
      <c r="AL11" s="136">
        <v>8.7081499999999998</v>
      </c>
      <c r="AM11" s="136">
        <v>59.494790000000002</v>
      </c>
      <c r="AN11" s="5"/>
      <c r="AO11" s="5"/>
      <c r="AP11" s="5"/>
      <c r="AQ11" s="5"/>
      <c r="AR11" s="7"/>
      <c r="AS11" s="5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x14ac:dyDescent="0.3">
      <c r="A12" s="40" t="str">
        <f>HLOOKUP(Chosen,Hide!$A$157:$C$178, 11, FALSE)</f>
        <v>Pozostałe koszty operacyjne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-93.821499999999958</v>
      </c>
      <c r="T12" s="7">
        <f t="shared" si="0"/>
        <v>-148.17850000000004</v>
      </c>
      <c r="U12" s="7">
        <v>-415</v>
      </c>
      <c r="V12" s="7">
        <v>-115</v>
      </c>
      <c r="W12" s="7">
        <v>-263.46332000000001</v>
      </c>
      <c r="X12" s="7">
        <v>-11.554719999999975</v>
      </c>
      <c r="Y12" s="7">
        <v>-816.3073800272964</v>
      </c>
      <c r="Z12" s="7">
        <v>-1206.3254200272963</v>
      </c>
      <c r="AA12" s="7">
        <v>-30.834419999999998</v>
      </c>
      <c r="AB12" s="7">
        <v>-141.17993000000001</v>
      </c>
      <c r="AC12" s="7">
        <v>-74.344149999999985</v>
      </c>
      <c r="AD12" s="7">
        <v>-124.16618</v>
      </c>
      <c r="AE12" s="7">
        <v>-370.52467999999999</v>
      </c>
      <c r="AF12" s="7">
        <v>-13.505889999999999</v>
      </c>
      <c r="AG12" s="7">
        <v>-10.887359999999999</v>
      </c>
      <c r="AH12" s="136">
        <v>-8.3521000000000036</v>
      </c>
      <c r="AI12" s="136">
        <v>-3117.8592599999997</v>
      </c>
      <c r="AJ12" s="136">
        <v>-3150.6046099999999</v>
      </c>
      <c r="AK12" s="136">
        <v>-49.114890000000003</v>
      </c>
      <c r="AL12" s="136">
        <v>-15731.622076763695</v>
      </c>
      <c r="AM12" s="136">
        <v>-9.4414932363051776</v>
      </c>
      <c r="AN12" s="5"/>
      <c r="AO12" s="5"/>
      <c r="AP12" s="5"/>
      <c r="AQ12" s="5"/>
      <c r="AR12" s="7"/>
      <c r="AS12" s="5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6" customFormat="1" x14ac:dyDescent="0.3">
      <c r="A13" s="39" t="str">
        <f>HLOOKUP(Chosen,Hide!$A$157:$C$178, 12, FALSE)</f>
        <v>Zysk/(strata) na działalności operacyjnej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3776.0000000000018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2884.5061399999968</v>
      </c>
      <c r="T13" s="8">
        <f t="shared" si="0"/>
        <v>2555.4938600000032</v>
      </c>
      <c r="U13" s="8">
        <v>10151</v>
      </c>
      <c r="V13" s="8">
        <v>2347</v>
      </c>
      <c r="W13" s="8">
        <v>874.05889999999931</v>
      </c>
      <c r="X13" s="8">
        <v>1648.7359100000021</v>
      </c>
      <c r="Y13" s="8">
        <v>2958.3537144468446</v>
      </c>
      <c r="Z13" s="8">
        <v>7828.1485244468458</v>
      </c>
      <c r="AA13" s="8">
        <v>4444.2964599999987</v>
      </c>
      <c r="AB13" s="8">
        <v>4390.2272100000027</v>
      </c>
      <c r="AC13" s="8">
        <v>4338.865409999994</v>
      </c>
      <c r="AD13" s="8">
        <v>4762.6471399999973</v>
      </c>
      <c r="AE13" s="8">
        <v>17936.036219999995</v>
      </c>
      <c r="AF13" s="8">
        <v>6060.0290499999983</v>
      </c>
      <c r="AG13" s="8">
        <v>7097.217410000002</v>
      </c>
      <c r="AH13" s="137">
        <v>5845.0591800000002</v>
      </c>
      <c r="AI13" s="137">
        <v>2259.0368100000042</v>
      </c>
      <c r="AJ13" s="137">
        <v>21261.342450000004</v>
      </c>
      <c r="AK13" s="137">
        <v>3483.1212899999982</v>
      </c>
      <c r="AL13" s="137">
        <v>-13706.142886763691</v>
      </c>
      <c r="AM13" s="137">
        <v>3561.450466763692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3">
      <c r="A14" s="40" t="str">
        <f>HLOOKUP(Chosen,Hide!$A$157:$C$178, 13, FALSE)</f>
        <v>Przychody finansowe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685.80456000000004</v>
      </c>
      <c r="T14" s="7">
        <f t="shared" si="0"/>
        <v>990.19543999999996</v>
      </c>
      <c r="U14" s="7">
        <v>3879</v>
      </c>
      <c r="V14" s="7">
        <v>871</v>
      </c>
      <c r="W14" s="7">
        <v>7515.4756800000014</v>
      </c>
      <c r="X14" s="7">
        <v>-558.48774000000094</v>
      </c>
      <c r="Y14" s="7">
        <v>1161.9985199999992</v>
      </c>
      <c r="Z14" s="7">
        <v>8989.9864600000001</v>
      </c>
      <c r="AA14" s="7">
        <v>2573.7623600000002</v>
      </c>
      <c r="AB14" s="7">
        <v>-806.6023600000002</v>
      </c>
      <c r="AC14" s="7">
        <v>4764.3807199999992</v>
      </c>
      <c r="AD14" s="7">
        <v>-2930.4292799999989</v>
      </c>
      <c r="AE14" s="7">
        <v>3601.1114400000001</v>
      </c>
      <c r="AF14" s="7">
        <v>7529.7138800000002</v>
      </c>
      <c r="AG14" s="7">
        <v>-2776.3732000000009</v>
      </c>
      <c r="AH14" s="136">
        <v>-1721.7943199999995</v>
      </c>
      <c r="AI14" s="136">
        <v>227.83941000000004</v>
      </c>
      <c r="AJ14" s="136">
        <v>3259.3857699999999</v>
      </c>
      <c r="AK14" s="136">
        <v>6558.6409100000001</v>
      </c>
      <c r="AL14" s="136">
        <v>-3767.33889</v>
      </c>
      <c r="AM14" s="136">
        <v>6409.4217900000003</v>
      </c>
      <c r="AN14" s="5"/>
      <c r="AO14" s="5"/>
      <c r="AP14" s="5"/>
      <c r="AQ14" s="5"/>
      <c r="AR14" s="7"/>
      <c r="AS14" s="5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x14ac:dyDescent="0.3">
      <c r="A15" s="40" t="str">
        <f>HLOOKUP(Chosen,Hide!$A$157:$C$178, 14, FALSE)</f>
        <v>Koszty finansowe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-1820.5954099999981</v>
      </c>
      <c r="T15" s="7">
        <f t="shared" si="0"/>
        <v>-4456.4045900000019</v>
      </c>
      <c r="U15" s="7">
        <v>-17631</v>
      </c>
      <c r="V15" s="7">
        <v>-2096</v>
      </c>
      <c r="W15" s="7">
        <v>-683.79359000000204</v>
      </c>
      <c r="X15" s="7">
        <v>-692.53457999999989</v>
      </c>
      <c r="Y15" s="7">
        <v>385.94439000000102</v>
      </c>
      <c r="Z15" s="7">
        <v>-3086.383780000001</v>
      </c>
      <c r="AA15" s="7">
        <v>-729.08938000000023</v>
      </c>
      <c r="AB15" s="7">
        <v>-1035.1106199999997</v>
      </c>
      <c r="AC15" s="7">
        <v>440.54859000000033</v>
      </c>
      <c r="AD15" s="7">
        <v>-114.83568000000082</v>
      </c>
      <c r="AE15" s="7">
        <v>-1438.4870900000003</v>
      </c>
      <c r="AF15" s="7">
        <v>-122.5107</v>
      </c>
      <c r="AG15" s="7">
        <v>-85.380119999999991</v>
      </c>
      <c r="AH15" s="136">
        <v>-64.711179999999985</v>
      </c>
      <c r="AI15" s="136">
        <v>-2463.8215600000003</v>
      </c>
      <c r="AJ15" s="136">
        <v>-2736.4235599999997</v>
      </c>
      <c r="AK15" s="136">
        <v>-35.675350000000002</v>
      </c>
      <c r="AL15" s="136">
        <v>-66.313879999999983</v>
      </c>
      <c r="AM15" s="136">
        <v>-74.303430000000034</v>
      </c>
      <c r="AN15" s="5"/>
      <c r="AO15" s="5"/>
      <c r="AP15" s="5"/>
      <c r="AQ15" s="5"/>
      <c r="AR15" s="7"/>
      <c r="AS15" s="5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6" customFormat="1" x14ac:dyDescent="0.3">
      <c r="A16" s="36" t="str">
        <f>HLOOKUP(Chosen,Hide!$A$157:$C$178, 15, FALSE)</f>
        <v>Przychody/(koszty) finansowe netto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6831.4320899999993</v>
      </c>
      <c r="X16" s="8">
        <v>-1251.0223200000009</v>
      </c>
      <c r="Y16" s="8">
        <v>1548.1929100000007</v>
      </c>
      <c r="Z16" s="8">
        <v>5903.6026799999991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8">
        <v>2162.62435</v>
      </c>
      <c r="AF16" s="8">
        <v>7407.2031800000004</v>
      </c>
      <c r="AG16" s="8">
        <v>-2861.7533200000007</v>
      </c>
      <c r="AH16" s="137">
        <v>-1786.5054999999995</v>
      </c>
      <c r="AI16" s="137">
        <v>-2235.9821500000007</v>
      </c>
      <c r="AJ16" s="137">
        <v>522.96221000000014</v>
      </c>
      <c r="AK16" s="137">
        <v>6522.9655599999996</v>
      </c>
      <c r="AL16" s="137">
        <v>-3833.6527700000001</v>
      </c>
      <c r="AM16" s="137">
        <v>6335.1183600000004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6" customFormat="1" x14ac:dyDescent="0.3">
      <c r="A17" s="36" t="str">
        <f>HLOOKUP(Chosen,Hide!$A$157:$C$178, 16, FALSE)</f>
        <v>Zysk/(strata) przed opodatkowaniem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-910.71528999999873</v>
      </c>
      <c r="U17" s="8">
        <v>-3601</v>
      </c>
      <c r="V17" s="8">
        <v>1122</v>
      </c>
      <c r="W17" s="8">
        <v>7705.4409899999982</v>
      </c>
      <c r="X17" s="8">
        <v>397.91359000000119</v>
      </c>
      <c r="Y17" s="8">
        <v>4506.3966244468447</v>
      </c>
      <c r="Z17" s="8">
        <v>13731.751204446846</v>
      </c>
      <c r="AA17" s="8">
        <v>6288.9694399999989</v>
      </c>
      <c r="AB17" s="8">
        <v>2548.454230000003</v>
      </c>
      <c r="AC17" s="8">
        <v>9543.9947199999951</v>
      </c>
      <c r="AD17" s="8">
        <v>1717.2421799999975</v>
      </c>
      <c r="AE17" s="8">
        <v>20098.660569999996</v>
      </c>
      <c r="AF17" s="8">
        <v>13467.232229999998</v>
      </c>
      <c r="AG17" s="8">
        <v>4235.6000000000004</v>
      </c>
      <c r="AH17" s="137">
        <v>4058.453680000001</v>
      </c>
      <c r="AI17" s="137">
        <v>23.018750000006094</v>
      </c>
      <c r="AJ17" s="137">
        <v>21784.304660000005</v>
      </c>
      <c r="AK17" s="137">
        <v>10005.986849999998</v>
      </c>
      <c r="AL17" s="137">
        <v>-17539.79565676369</v>
      </c>
      <c r="AM17" s="137">
        <v>9896.4688267636921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x14ac:dyDescent="0.3">
      <c r="A18" s="37" t="str">
        <f>HLOOKUP(Chosen,Hide!$A$157:$C$178, 17, FALSE)</f>
        <v>Podatek dochodowy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-372.50200000000001</v>
      </c>
      <c r="T18" s="7">
        <f t="shared" si="0"/>
        <v>371.50200000000001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-571.47335344490057</v>
      </c>
      <c r="Z18" s="7">
        <v>-2407.4783534449007</v>
      </c>
      <c r="AA18" s="7">
        <v>-1250.895</v>
      </c>
      <c r="AB18" s="7">
        <v>-652.34999999999991</v>
      </c>
      <c r="AC18" s="7">
        <v>-1817.2800000000002</v>
      </c>
      <c r="AD18" s="7">
        <v>215.59799999999996</v>
      </c>
      <c r="AE18" s="7">
        <v>-3504.9270000000001</v>
      </c>
      <c r="AF18" s="7">
        <v>-2464.1</v>
      </c>
      <c r="AG18" s="7">
        <v>810</v>
      </c>
      <c r="AH18" s="136">
        <v>-198.24999999999977</v>
      </c>
      <c r="AI18" s="136">
        <v>1273.2679999999998</v>
      </c>
      <c r="AJ18" s="136">
        <v>-579.08199999999999</v>
      </c>
      <c r="AK18" s="136">
        <v>-908.11300000000006</v>
      </c>
      <c r="AL18" s="136">
        <v>3425.8954956851021</v>
      </c>
      <c r="AM18" s="136">
        <v>-1045.1784956851025</v>
      </c>
      <c r="AN18" s="5"/>
      <c r="AO18" s="5"/>
      <c r="AP18" s="5"/>
      <c r="AQ18" s="5"/>
      <c r="AR18" s="7"/>
      <c r="AS18" s="5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6" customFormat="1" x14ac:dyDescent="0.3">
      <c r="A19" s="36" t="str">
        <f>HLOOKUP(Chosen,Hide!$A$157:$C$178, 18, FALSE)</f>
        <v>Zysk/(strata) netto z działalności kontynuowanej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2761.0000000000018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-539.21328999999878</v>
      </c>
      <c r="U19" s="8">
        <v>-2830</v>
      </c>
      <c r="V19" s="8">
        <v>860</v>
      </c>
      <c r="W19" s="8">
        <v>6237.4299899999978</v>
      </c>
      <c r="X19" s="8">
        <v>291.91959000000134</v>
      </c>
      <c r="Y19" s="8">
        <v>3935.2232710019443</v>
      </c>
      <c r="Z19" s="8">
        <v>11324.572851001943</v>
      </c>
      <c r="AA19" s="8">
        <v>5038.0744399999985</v>
      </c>
      <c r="AB19" s="8">
        <v>1896.1042300000031</v>
      </c>
      <c r="AC19" s="8">
        <v>7726.7147199999945</v>
      </c>
      <c r="AD19" s="8">
        <v>1932.8401800000011</v>
      </c>
      <c r="AE19" s="8">
        <v>16593.733569999997</v>
      </c>
      <c r="AF19" s="8">
        <v>11003.132229999997</v>
      </c>
      <c r="AG19" s="8">
        <v>5046.1290900000013</v>
      </c>
      <c r="AH19" s="132">
        <v>3860.2036800000014</v>
      </c>
      <c r="AI19" s="132">
        <v>1295.7576600000066</v>
      </c>
      <c r="AJ19" s="132">
        <v>21205.222660000007</v>
      </c>
      <c r="AK19" s="132">
        <v>9097.8738499999981</v>
      </c>
      <c r="AL19" s="132">
        <v>-14113.900161078589</v>
      </c>
      <c r="AM19" s="132">
        <v>8851.2903310785896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x14ac:dyDescent="0.3">
      <c r="A20" s="37" t="str">
        <f>HLOOKUP(Chosen,Hide!$A$157:$C$178, 19, FALSE)</f>
        <v>Inne całkowite dochody netto za okres sprawozdawczy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5"/>
      <c r="AO20" s="5"/>
      <c r="AP20" s="5"/>
      <c r="AQ20" s="5"/>
      <c r="AR20" s="7"/>
      <c r="AS20" s="5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6" customFormat="1" x14ac:dyDescent="0.3">
      <c r="A21" s="36" t="str">
        <f>HLOOKUP(Chosen,Hide!$A$157:$C$178, 20, FALSE)</f>
        <v>Całkowite dochody ogółem za okres sprawozdawczy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2761.0000000000018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-539.21328999999878</v>
      </c>
      <c r="U21" s="8">
        <v>-2830</v>
      </c>
      <c r="V21" s="8">
        <v>860</v>
      </c>
      <c r="W21" s="8">
        <v>6237.4299899999978</v>
      </c>
      <c r="X21" s="8">
        <v>291.91959000000134</v>
      </c>
      <c r="Y21" s="8">
        <v>3935.2232710019443</v>
      </c>
      <c r="Z21" s="8">
        <v>11324.572851001943</v>
      </c>
      <c r="AA21" s="8">
        <v>5038.0744399999985</v>
      </c>
      <c r="AB21" s="8">
        <v>1896.1042300000031</v>
      </c>
      <c r="AC21" s="8">
        <v>7726.7147199999945</v>
      </c>
      <c r="AD21" s="8">
        <v>1932.8401800000011</v>
      </c>
      <c r="AE21" s="8">
        <v>16593.733569999997</v>
      </c>
      <c r="AF21" s="8">
        <v>11003.132229999997</v>
      </c>
      <c r="AG21" s="8">
        <v>5046.1290900000013</v>
      </c>
      <c r="AH21" s="132">
        <v>3860.2036800000014</v>
      </c>
      <c r="AI21" s="132">
        <v>1295.7576600000066</v>
      </c>
      <c r="AJ21" s="132">
        <v>21205.222660000007</v>
      </c>
      <c r="AK21" s="132">
        <v>9097.8738499999981</v>
      </c>
      <c r="AL21" s="132">
        <v>-14113.900161078589</v>
      </c>
      <c r="AM21" s="132">
        <v>8851.2903310785896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3">
      <c r="A22" s="53" t="str">
        <f>HLOOKUP(Chosen,Hide!$A$157:$C$178, 21, FALSE)</f>
        <v xml:space="preserve">Podstawowy zysk/(strata) na jedną akcję w złotych </v>
      </c>
      <c r="B22" s="10">
        <v>1.1000000000000001</v>
      </c>
      <c r="C22" s="10">
        <v>1.1000000000000001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1.7292569975048511</v>
      </c>
      <c r="X22" s="10">
        <v>8.093140837260919E-2</v>
      </c>
      <c r="Y22" s="10">
        <v>1.0912987440382542</v>
      </c>
      <c r="Z22" s="10">
        <v>3.1396098838375224</v>
      </c>
      <c r="AA22" s="10">
        <v>1.3967492209592456</v>
      </c>
      <c r="AB22" s="10">
        <v>0.52567347657333052</v>
      </c>
      <c r="AC22" s="10">
        <v>2.142144363737176</v>
      </c>
      <c r="AD22" s="10">
        <v>0.53592853066912627</v>
      </c>
      <c r="AE22" s="10">
        <v>4.6004251649570271</v>
      </c>
      <c r="AF22" s="10">
        <v>3.0504941031327966</v>
      </c>
      <c r="AG22" s="10">
        <v>1.1659263146950096</v>
      </c>
      <c r="AH22" s="151">
        <v>0.89191397412199669</v>
      </c>
      <c r="AI22" s="151">
        <v>1.6031492385172208E-2</v>
      </c>
      <c r="AJ22" s="151">
        <v>5.1243658843349751</v>
      </c>
      <c r="AK22" s="151">
        <v>2.1019493898648034</v>
      </c>
      <c r="AL22" s="151">
        <v>-3.261067504870284</v>
      </c>
      <c r="AM22" s="151">
        <v>2.0451225349072528</v>
      </c>
      <c r="AN22" s="5"/>
      <c r="AO22" s="5"/>
      <c r="AP22" s="5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x14ac:dyDescent="0.3">
      <c r="A23" s="53" t="str">
        <f>HLOOKUP(Chosen,Hide!$A$157:$C$178, 22, FALSE)</f>
        <v xml:space="preserve">Rozwodniony zysk/(strata) na jedną akcję w złotych </v>
      </c>
      <c r="B23" s="10">
        <v>1.1000000000000001</v>
      </c>
      <c r="C23" s="10">
        <v>1.1000000000000001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1.7292569975048511</v>
      </c>
      <c r="X23" s="10">
        <v>8.093140837260919E-2</v>
      </c>
      <c r="Y23" s="10">
        <v>1.0912987440382542</v>
      </c>
      <c r="Z23" s="10">
        <v>3.1396098838375224</v>
      </c>
      <c r="AA23" s="10">
        <v>1.3967492209592456</v>
      </c>
      <c r="AB23" s="10">
        <v>0.52567347657333052</v>
      </c>
      <c r="AC23" s="10">
        <v>2.142144363737176</v>
      </c>
      <c r="AD23" s="10">
        <v>0.53592853066912627</v>
      </c>
      <c r="AE23" s="10">
        <v>4.6004251649570271</v>
      </c>
      <c r="AF23" s="10">
        <v>3.0504941031327966</v>
      </c>
      <c r="AG23" s="10">
        <v>1.1659263146950096</v>
      </c>
      <c r="AH23" s="151">
        <v>0.89191397412199669</v>
      </c>
      <c r="AI23" s="151">
        <v>1.6031492385172208E-2</v>
      </c>
      <c r="AJ23" s="151">
        <v>5.1243658843349751</v>
      </c>
      <c r="AK23" s="151">
        <v>2.1019493898648034</v>
      </c>
      <c r="AL23" s="151">
        <v>-3.261067504870284</v>
      </c>
      <c r="AM23" s="151">
        <v>2.0451225349072528</v>
      </c>
      <c r="AN23" s="5"/>
      <c r="AO23" s="5"/>
      <c r="AP23" s="5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x14ac:dyDescent="0.3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"/>
      <c r="AD25" s="7"/>
      <c r="AE25" s="7"/>
      <c r="AF25" s="7"/>
      <c r="AG25" s="7"/>
      <c r="AI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x14ac:dyDescent="0.3">
      <c r="B26" s="7"/>
    </row>
    <row r="27" spans="1:61" x14ac:dyDescent="0.3">
      <c r="B27" s="7"/>
    </row>
    <row r="28" spans="1:61" x14ac:dyDescent="0.3">
      <c r="B28" s="7"/>
    </row>
    <row r="29" spans="1:61" x14ac:dyDescent="0.3">
      <c r="B29" s="7"/>
    </row>
    <row r="30" spans="1:61" x14ac:dyDescent="0.3">
      <c r="B30" s="7"/>
    </row>
    <row r="31" spans="1:61" x14ac:dyDescent="0.3">
      <c r="B31" s="7"/>
    </row>
    <row r="32" spans="1:61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  <row r="36" spans="2:2" x14ac:dyDescent="0.3">
      <c r="B36" s="7"/>
    </row>
    <row r="37" spans="2:2" x14ac:dyDescent="0.3">
      <c r="B37" s="7"/>
    </row>
  </sheetData>
  <sheetProtection formatCells="0" formatColumns="0" formatRows="0" insertColumns="0" insertRows="0" insertHyperlinks="0" deleteColumns="0" deleteRows="0" sort="0" autoFilter="0" pivotTables="0"/>
  <phoneticPr fontId="34" type="noConversion"/>
  <hyperlinks>
    <hyperlink ref="A1" location="HOME!A1" display="HOME!A1" xr:uid="{00000000-0004-0000-0400-000000000000}"/>
  </hyperlinks>
  <pageMargins left="0.7" right="0.7" top="0.75" bottom="0.75" header="0.3" footer="0.3"/>
  <pageSetup paperSize="9" orientation="portrait" r:id="rId1"/>
  <ignoredErrors>
    <ignoredError sqref="T3:T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8" tint="0.79998168889431442"/>
  </sheetPr>
  <dimension ref="A1:BH276"/>
  <sheetViews>
    <sheetView showGridLines="0" workbookViewId="0">
      <pane xSplit="1" ySplit="2" topLeftCell="N3" activePane="bottomRight" state="frozen"/>
      <selection activeCell="A17" sqref="A17"/>
      <selection pane="topRight" activeCell="A17" sqref="A17"/>
      <selection pane="bottomLeft" activeCell="A17" sqref="A17"/>
      <selection pane="bottomRight" activeCell="Z30" sqref="Z30"/>
    </sheetView>
  </sheetViews>
  <sheetFormatPr defaultColWidth="9.33203125" defaultRowHeight="14.4" x14ac:dyDescent="0.3"/>
  <cols>
    <col min="1" max="1" width="61.33203125" style="2" customWidth="1"/>
    <col min="2" max="4" width="9.33203125" style="2"/>
    <col min="5" max="7" width="9.33203125" style="2" customWidth="1"/>
    <col min="8" max="15" width="9.33203125" style="2"/>
    <col min="16" max="16" width="9.33203125" style="2" customWidth="1"/>
    <col min="17" max="18" width="9.44140625" style="2" customWidth="1"/>
    <col min="19" max="16384" width="9.33203125" style="2"/>
  </cols>
  <sheetData>
    <row r="1" spans="1:60" x14ac:dyDescent="0.3">
      <c r="A1" s="3" t="str">
        <f>HLOOKUP(Chosen,Hide!$A$9:$C$11, 2, FALSE)</f>
        <v>SPIS TREŚCI</v>
      </c>
    </row>
    <row r="2" spans="1:60" s="32" customFormat="1" x14ac:dyDescent="0.3">
      <c r="A2" s="90" t="str">
        <f>HLOOKUP(Chosen,Hide!$A$64:$C$99, 36, FALSE)</f>
        <v>tys. PLN</v>
      </c>
      <c r="B2" s="57">
        <v>2014</v>
      </c>
      <c r="C2" s="57">
        <v>2015</v>
      </c>
      <c r="D2" s="57">
        <v>2016</v>
      </c>
      <c r="E2" s="33" t="s">
        <v>15</v>
      </c>
      <c r="F2" s="33" t="s">
        <v>323</v>
      </c>
      <c r="G2" s="33" t="s">
        <v>324</v>
      </c>
      <c r="H2" s="57">
        <v>2017</v>
      </c>
      <c r="I2" s="33" t="s">
        <v>328</v>
      </c>
      <c r="J2" s="33" t="s">
        <v>342</v>
      </c>
      <c r="K2" s="33" t="s">
        <v>350</v>
      </c>
      <c r="L2" s="57">
        <v>2018</v>
      </c>
      <c r="M2" s="33" t="s">
        <v>361</v>
      </c>
      <c r="N2" s="33" t="s">
        <v>365</v>
      </c>
      <c r="O2" s="33" t="s">
        <v>366</v>
      </c>
      <c r="P2" s="57">
        <v>2019</v>
      </c>
      <c r="Q2" s="33" t="s">
        <v>386</v>
      </c>
      <c r="R2" s="33" t="s">
        <v>392</v>
      </c>
      <c r="S2" s="33" t="s">
        <v>402</v>
      </c>
      <c r="T2" s="57">
        <v>2020</v>
      </c>
      <c r="U2" s="33" t="s">
        <v>409</v>
      </c>
      <c r="V2" s="33" t="s">
        <v>416</v>
      </c>
      <c r="W2" s="33" t="s">
        <v>420</v>
      </c>
    </row>
    <row r="3" spans="1:60" x14ac:dyDescent="0.3">
      <c r="A3" s="49" t="str">
        <f>HLOOKUP(Chosen,Hide!$A$219:$C$266, 2, FALSE)</f>
        <v>Przepływy pieniężne z działalności operacyjnej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6" customFormat="1" x14ac:dyDescent="0.3">
      <c r="A4" s="50" t="str">
        <f>HLOOKUP(Chosen,Hide!$A$219:$C$266, 3, FALSE)</f>
        <v>Zysk/(strata) netto za okres sprawozdawczy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7389.1018400000039</v>
      </c>
      <c r="L4" s="5">
        <v>11324.572851001943</v>
      </c>
      <c r="M4" s="5">
        <v>5038.0744399999985</v>
      </c>
      <c r="N4" s="5">
        <v>6934.1786700000021</v>
      </c>
      <c r="O4" s="5">
        <v>14661.023389999993</v>
      </c>
      <c r="P4" s="5">
        <v>16593.733569999997</v>
      </c>
      <c r="Q4" s="5">
        <v>11003.132229999997</v>
      </c>
      <c r="R4" s="5">
        <v>16049.611320000002</v>
      </c>
      <c r="S4" s="146">
        <v>19910.115000000002</v>
      </c>
      <c r="T4" s="5">
        <v>21205.222660000007</v>
      </c>
      <c r="U4" s="146">
        <v>9097.8738499999981</v>
      </c>
      <c r="V4" s="146">
        <v>-5015.7263110785952</v>
      </c>
      <c r="W4" s="146">
        <v>3835.8140200000021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x14ac:dyDescent="0.3">
      <c r="A5" s="54" t="str">
        <f>HLOOKUP(Chosen,Hide!$A$219:$C$266, 4, FALSE)</f>
        <v>Amortyzacja rzeczowych aktywów trwałych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215.08217999999999</v>
      </c>
      <c r="K5" s="7">
        <v>343.82802999999996</v>
      </c>
      <c r="L5" s="7">
        <v>491.24546999999995</v>
      </c>
      <c r="M5" s="7">
        <v>346.47509000000002</v>
      </c>
      <c r="N5" s="7">
        <v>693.77166999999997</v>
      </c>
      <c r="O5" s="7">
        <v>1059.32483</v>
      </c>
      <c r="P5" s="7">
        <v>1491.2263799999998</v>
      </c>
      <c r="Q5" s="7">
        <v>315.47649000000001</v>
      </c>
      <c r="R5" s="7">
        <v>623.19492999999989</v>
      </c>
      <c r="S5" s="138">
        <v>937.62053999999989</v>
      </c>
      <c r="T5" s="7">
        <v>1257.5196599999999</v>
      </c>
      <c r="U5" s="138">
        <v>335.46935999999999</v>
      </c>
      <c r="V5" s="138">
        <v>671.03498000000002</v>
      </c>
      <c r="W5" s="138">
        <v>938.80230806362601</v>
      </c>
      <c r="X5" s="5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x14ac:dyDescent="0.3">
      <c r="A6" s="54" t="str">
        <f>HLOOKUP(Chosen,Hide!$A$219:$C$266, 5, FALSE)</f>
        <v>Amortyzacja wartości niematerialnych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763.68531000000007</v>
      </c>
      <c r="H6" s="7">
        <v>931</v>
      </c>
      <c r="I6" s="7">
        <v>168</v>
      </c>
      <c r="J6" s="7">
        <v>323.56500999999997</v>
      </c>
      <c r="K6" s="7">
        <v>502.31041000000005</v>
      </c>
      <c r="L6" s="7">
        <v>682.2968800000001</v>
      </c>
      <c r="M6" s="7">
        <v>263.98354</v>
      </c>
      <c r="N6" s="7">
        <v>701.36765999999989</v>
      </c>
      <c r="O6" s="7">
        <v>1197.1542400000001</v>
      </c>
      <c r="P6" s="7">
        <v>1624.0398199999997</v>
      </c>
      <c r="Q6" s="7">
        <v>300.65445</v>
      </c>
      <c r="R6" s="7">
        <v>684.6565700000001</v>
      </c>
      <c r="S6" s="138">
        <v>1067.1332800000002</v>
      </c>
      <c r="T6" s="7">
        <v>1542.6057000000001</v>
      </c>
      <c r="U6" s="138">
        <v>686.63986000000011</v>
      </c>
      <c r="V6" s="138">
        <v>1373.3338299999998</v>
      </c>
      <c r="W6" s="138">
        <v>2061.2246700000001</v>
      </c>
      <c r="X6" s="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x14ac:dyDescent="0.3">
      <c r="A7" s="54" t="str">
        <f>HLOOKUP(Chosen,Hide!$A$219:$C$266, 6, FALSE)</f>
        <v>Podatek dochodowy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-398.69700000000012</v>
      </c>
      <c r="H7" s="7">
        <v>-771</v>
      </c>
      <c r="I7" s="7">
        <v>262</v>
      </c>
      <c r="J7" s="7">
        <v>1729.903</v>
      </c>
      <c r="K7" s="7">
        <v>1836.4870000000001</v>
      </c>
      <c r="L7" s="7">
        <v>2407.1973534449007</v>
      </c>
      <c r="M7" s="7">
        <v>1251.7840000000001</v>
      </c>
      <c r="N7" s="7">
        <v>1903.9339999999997</v>
      </c>
      <c r="O7" s="7">
        <v>3721.1640000000002</v>
      </c>
      <c r="P7" s="7">
        <v>3505.4820400000003</v>
      </c>
      <c r="Q7" s="7">
        <v>2464.4739999999997</v>
      </c>
      <c r="R7" s="7">
        <v>1654.6090000000002</v>
      </c>
      <c r="S7" s="138">
        <v>1853.7590000000002</v>
      </c>
      <c r="T7" s="7">
        <v>579.35599999999999</v>
      </c>
      <c r="U7" s="138">
        <v>908.11299999999994</v>
      </c>
      <c r="V7" s="138">
        <v>-2517.3504956851029</v>
      </c>
      <c r="W7" s="138">
        <v>-1366.1039999999998</v>
      </c>
      <c r="X7" s="5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x14ac:dyDescent="0.3">
      <c r="A8" s="54" t="str">
        <f>HLOOKUP(Chosen,Hide!$A$219:$C$266, 7, FALSE)</f>
        <v>Zmiana stanu zapasów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2768.1387000272962</v>
      </c>
      <c r="M8" s="7">
        <v>-1571.4306300000007</v>
      </c>
      <c r="N8" s="7">
        <v>-1679.2907400000004</v>
      </c>
      <c r="O8" s="7">
        <v>-1136.9411000000009</v>
      </c>
      <c r="P8" s="7">
        <v>-669.51918999999998</v>
      </c>
      <c r="Q8" s="7">
        <v>971.45182000000023</v>
      </c>
      <c r="R8" s="7">
        <v>634.97524000000067</v>
      </c>
      <c r="S8" s="138">
        <v>1530.1398099999997</v>
      </c>
      <c r="T8" s="7">
        <v>1453.1525700000002</v>
      </c>
      <c r="U8" s="138">
        <v>-262.31011000000126</v>
      </c>
      <c r="V8" s="138">
        <v>-942.04930000000058</v>
      </c>
      <c r="W8" s="138">
        <v>-2204.7142999999996</v>
      </c>
      <c r="X8" s="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x14ac:dyDescent="0.3">
      <c r="A9" s="54" t="str">
        <f>HLOOKUP(Chosen,Hide!$A$219:$C$266, 8, FALSE)</f>
        <v>Zmiana stanu należności z tytułu dostaw i usług oraz pozostałych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884.68125950000058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-855.79306000000088</v>
      </c>
      <c r="N9" s="7">
        <v>150.17607999999927</v>
      </c>
      <c r="O9" s="7">
        <v>-1598.1690299999973</v>
      </c>
      <c r="P9" s="7">
        <v>-2255.3639999999978</v>
      </c>
      <c r="Q9" s="7">
        <v>-7020.3367199999966</v>
      </c>
      <c r="R9" s="7">
        <v>-16347.54974</v>
      </c>
      <c r="S9" s="138">
        <v>-26538.819609999995</v>
      </c>
      <c r="T9" s="7">
        <v>-25214.682560000001</v>
      </c>
      <c r="U9" s="138">
        <v>-10203.838070000007</v>
      </c>
      <c r="V9" s="138">
        <v>-8806.6952220000021</v>
      </c>
      <c r="W9" s="138">
        <v>-13877.449299999998</v>
      </c>
      <c r="X9" s="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x14ac:dyDescent="0.3">
      <c r="A10" s="54" t="str">
        <f>HLOOKUP(Chosen,Hide!$A$219:$C$266, 9, FALSE)</f>
        <v>Zmiana stanu rozliczeń międzyokresowych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-2058.7340399999998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-79.048889999999943</v>
      </c>
      <c r="N10" s="7">
        <v>-158.13867000000002</v>
      </c>
      <c r="O10" s="7">
        <v>-236.47845000000009</v>
      </c>
      <c r="P10" s="7">
        <v>126.85085999999978</v>
      </c>
      <c r="Q10" s="7">
        <v>0.59807999999991923</v>
      </c>
      <c r="R10" s="7">
        <v>0</v>
      </c>
      <c r="S10" s="138">
        <v>4.8079999999970369E-2</v>
      </c>
      <c r="T10" s="7">
        <v>875.0554000000003</v>
      </c>
      <c r="U10" s="138">
        <v>-1240.8886699999998</v>
      </c>
      <c r="V10" s="138">
        <v>-874.60731999999996</v>
      </c>
      <c r="W10" s="138">
        <v>-874.60732000000053</v>
      </c>
      <c r="X10" s="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x14ac:dyDescent="0.3">
      <c r="A11" s="54" t="str">
        <f>HLOOKUP(Chosen,Hide!$A$219:$C$266, 10, FALSE)</f>
        <v>Zmiana stanu zobowiązań finansowych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x14ac:dyDescent="0.3">
      <c r="A12" s="54" t="str">
        <f>HLOOKUP(Chosen,Hide!$A$219:$C$266, 11, FALSE)</f>
        <v>Zmiana stanu aktywów finansowych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x14ac:dyDescent="0.3">
      <c r="A13" s="54" t="str">
        <f>HLOOKUP(Chosen,Hide!$A$219:$C$266, 12, FALSE)</f>
        <v>Zmiana stanu zobowiązań z tytułu dostaw i usług oraz pozostałych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846.98196552585978</v>
      </c>
      <c r="N13" s="7">
        <v>-1355.4070999999999</v>
      </c>
      <c r="O13" s="7">
        <v>-2489.08925</v>
      </c>
      <c r="P13" s="7">
        <v>-2531.4420399999995</v>
      </c>
      <c r="Q13" s="7">
        <v>-8.0162700000003042</v>
      </c>
      <c r="R13" s="7">
        <v>225.86659999999995</v>
      </c>
      <c r="S13" s="138">
        <v>166.17098000000004</v>
      </c>
      <c r="T13" s="7">
        <v>-1399.8124599999999</v>
      </c>
      <c r="U13" s="7">
        <v>-216.35201000000052</v>
      </c>
      <c r="V13" s="7">
        <v>-138.29593000000025</v>
      </c>
      <c r="W13" s="138">
        <v>512.64867000000004</v>
      </c>
      <c r="X13" s="5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x14ac:dyDescent="0.3">
      <c r="A14" s="54" t="str">
        <f>HLOOKUP(Chosen,Hide!$A$219:$C$266, 13, FALSE)</f>
        <v>Zmiana stanu rezerw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126.76148000000001</v>
      </c>
      <c r="K14" s="7">
        <v>80.863270000000057</v>
      </c>
      <c r="L14" s="7">
        <v>223.79106999999999</v>
      </c>
      <c r="M14" s="7">
        <v>120.38768999999991</v>
      </c>
      <c r="N14" s="7">
        <v>88.757979999999975</v>
      </c>
      <c r="O14" s="7">
        <v>25.205849999999941</v>
      </c>
      <c r="P14" s="7">
        <v>-81.145449999999983</v>
      </c>
      <c r="Q14" s="7">
        <v>28.036540000000059</v>
      </c>
      <c r="R14" s="7">
        <v>146.58063000000004</v>
      </c>
      <c r="S14" s="138">
        <v>16.704219999999964</v>
      </c>
      <c r="T14" s="7">
        <v>183.56367000000006</v>
      </c>
      <c r="U14" s="7">
        <v>327.94952999999998</v>
      </c>
      <c r="V14" s="7">
        <v>674.53166999999996</v>
      </c>
      <c r="W14" s="138">
        <v>249.18421999999998</v>
      </c>
      <c r="X14" s="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x14ac:dyDescent="0.3">
      <c r="A15" s="54" t="str">
        <f>HLOOKUP(Chosen,Hide!$A$219:$C$266, 14, FALSE)</f>
        <v>Zmiana stanu aktywów i pasywów - nabycie jed. zależnych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x14ac:dyDescent="0.3">
      <c r="A16" s="157" t="s">
        <v>419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15671.0969767637</v>
      </c>
      <c r="W16" s="7">
        <v>15671.0969767637</v>
      </c>
      <c r="X16" s="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x14ac:dyDescent="0.3">
      <c r="A17" s="54" t="s">
        <v>405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3108</v>
      </c>
      <c r="U17" s="7">
        <v>0</v>
      </c>
      <c r="V17" s="7">
        <v>0</v>
      </c>
      <c r="W17" s="7">
        <v>0</v>
      </c>
      <c r="X17" s="5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x14ac:dyDescent="0.3">
      <c r="A18" s="54" t="str">
        <f>HLOOKUP(Chosen,Hide!$A$219:$C$266, 16, FALSE)</f>
        <v>(Zysk)/strata ze sprzedaży rzeczowych aktywów trwałych</v>
      </c>
      <c r="B18" s="7">
        <v>0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x14ac:dyDescent="0.3">
      <c r="A19" s="54" t="str">
        <f>HLOOKUP(Chosen,Hide!$A$219:$C$266, 17, FALSE)</f>
        <v>(Zysk)/strata ze sprzedaży inwestycji</v>
      </c>
      <c r="B19" s="7">
        <v>0</v>
      </c>
      <c r="C19" s="7">
        <v>0</v>
      </c>
      <c r="D19" s="7">
        <v>-216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x14ac:dyDescent="0.3">
      <c r="A20" s="54" t="str">
        <f>HLOOKUP(Chosen,Hide!$A$219:$C$266, 20, FALSE)</f>
        <v>(Przychody)/koszty finansowe netto</v>
      </c>
      <c r="B20" s="7">
        <v>-3737</v>
      </c>
      <c r="C20" s="7">
        <v>4420</v>
      </c>
      <c r="D20" s="7">
        <v>0</v>
      </c>
      <c r="E20" s="7">
        <v>0</v>
      </c>
      <c r="F20" s="7">
        <v>-98</v>
      </c>
      <c r="G20" s="7">
        <v>-2.0891099999997778</v>
      </c>
      <c r="H20" s="7">
        <v>81</v>
      </c>
      <c r="I20" s="7">
        <v>-178</v>
      </c>
      <c r="J20" s="7">
        <v>82.448459999998917</v>
      </c>
      <c r="K20" s="7">
        <v>50.138759999999223</v>
      </c>
      <c r="L20" s="7">
        <v>332.67756999999938</v>
      </c>
      <c r="M20" s="7">
        <v>22.211639999999967</v>
      </c>
      <c r="N20" s="7">
        <v>178.90125000000006</v>
      </c>
      <c r="O20" s="7">
        <v>178.90125000000006</v>
      </c>
      <c r="P20" s="7">
        <v>178.90125000000006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x14ac:dyDescent="0.3">
      <c r="A21" s="54" t="str">
        <f>HLOOKUP(Chosen,Hide!$A$219:$C$266, 21, FALSE)</f>
        <v>Wycena programu motywacyjnego</v>
      </c>
      <c r="B21" s="7">
        <v>0</v>
      </c>
      <c r="C21" s="7">
        <v>0</v>
      </c>
      <c r="D21" s="7">
        <v>3170</v>
      </c>
      <c r="E21" s="7">
        <v>1005</v>
      </c>
      <c r="F21" s="7">
        <v>2009</v>
      </c>
      <c r="G21" s="7">
        <v>2009</v>
      </c>
      <c r="H21" s="7">
        <v>2142</v>
      </c>
      <c r="I21" s="7">
        <v>742</v>
      </c>
      <c r="J21" s="7">
        <v>1484.5</v>
      </c>
      <c r="K21" s="7">
        <v>2226.75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5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x14ac:dyDescent="0.3">
      <c r="A22" s="54" t="str">
        <f>HLOOKUP(Chosen,Hide!$A$219:$C$266, 22, FALSE)</f>
        <v>Podatek zapłacony</v>
      </c>
      <c r="B22" s="7">
        <v>-3948</v>
      </c>
      <c r="C22" s="7">
        <v>-4255</v>
      </c>
      <c r="D22" s="7">
        <v>-2541</v>
      </c>
      <c r="E22" s="7">
        <v>-2234</v>
      </c>
      <c r="F22" s="7">
        <v>-2447</v>
      </c>
      <c r="G22" s="7">
        <v>-3261.6900000000005</v>
      </c>
      <c r="H22" s="7">
        <v>-2285</v>
      </c>
      <c r="I22" s="7">
        <v>-545</v>
      </c>
      <c r="J22" s="7">
        <v>-572.16200000000003</v>
      </c>
      <c r="K22" s="7">
        <v>-862.255</v>
      </c>
      <c r="L22" s="7">
        <v>-823.07899999999995</v>
      </c>
      <c r="M22" s="7">
        <v>-581.66899999999998</v>
      </c>
      <c r="N22" s="7">
        <v>-799.94899999999996</v>
      </c>
      <c r="O22" s="7">
        <v>-1167.9939999999999</v>
      </c>
      <c r="P22" s="7">
        <v>-2115.509</v>
      </c>
      <c r="Q22" s="7">
        <v>-661.49</v>
      </c>
      <c r="R22" s="7">
        <v>-661.49</v>
      </c>
      <c r="S22" s="136">
        <v>-661.49</v>
      </c>
      <c r="T22" s="136">
        <v>-1015.771</v>
      </c>
      <c r="U22" s="7">
        <v>0</v>
      </c>
      <c r="V22" s="7">
        <v>0</v>
      </c>
      <c r="W22" s="7">
        <v>0</v>
      </c>
      <c r="X22" s="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x14ac:dyDescent="0.3">
      <c r="A23" s="54" t="str">
        <f>HLOOKUP(Chosen,Hide!$A$219:$C$266, 19, FALSE)</f>
        <v xml:space="preserve">Różnice kursowe </v>
      </c>
      <c r="B23" s="7">
        <v>0</v>
      </c>
      <c r="C23" s="7">
        <v>0</v>
      </c>
      <c r="D23" s="7">
        <v>-4227</v>
      </c>
      <c r="E23" s="7">
        <v>3789</v>
      </c>
      <c r="F23" s="7">
        <v>8410</v>
      </c>
      <c r="G23" s="7">
        <v>9460.2856321379895</v>
      </c>
      <c r="H23" s="7">
        <v>12248</v>
      </c>
      <c r="I23" s="7">
        <v>1248</v>
      </c>
      <c r="J23" s="7">
        <v>-4943.7301695000033</v>
      </c>
      <c r="K23" s="7">
        <v>-3546.3357584999949</v>
      </c>
      <c r="L23" s="7">
        <v>-5262.5686370450003</v>
      </c>
      <c r="M23" s="7">
        <v>-1495.3837835199993</v>
      </c>
      <c r="N23" s="7">
        <v>413.37703999999991</v>
      </c>
      <c r="O23" s="7">
        <v>-4849.6998270286394</v>
      </c>
      <c r="P23" s="7">
        <v>-2331.7243871860287</v>
      </c>
      <c r="Q23" s="7">
        <v>-5727.8925800000006</v>
      </c>
      <c r="R23" s="7">
        <v>-2932.5755200000003</v>
      </c>
      <c r="S23" s="138">
        <v>-981.3206773179993</v>
      </c>
      <c r="T23" s="138">
        <v>987.55467357600048</v>
      </c>
      <c r="U23" s="138">
        <v>-3690.1661400000003</v>
      </c>
      <c r="V23" s="138">
        <v>-838.85667999998896</v>
      </c>
      <c r="W23" s="138">
        <v>-4284.09172504254</v>
      </c>
      <c r="X23" s="5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x14ac:dyDescent="0.3">
      <c r="A24" s="54" t="str">
        <f>HLOOKUP(Chosen,Hide!$A$219:$C$266, 18, FALSE)</f>
        <v>Odsetki</v>
      </c>
      <c r="B24" s="7">
        <v>0</v>
      </c>
      <c r="C24" s="7">
        <v>0</v>
      </c>
      <c r="D24" s="7">
        <v>194</v>
      </c>
      <c r="E24" s="7">
        <v>678</v>
      </c>
      <c r="F24" s="7">
        <v>-265</v>
      </c>
      <c r="G24" s="7">
        <v>-404.37814000000037</v>
      </c>
      <c r="H24" s="7">
        <v>269</v>
      </c>
      <c r="I24" s="7">
        <v>61</v>
      </c>
      <c r="J24" s="7">
        <v>7.1533780726229423</v>
      </c>
      <c r="K24" s="7">
        <v>-141.60922551497166</v>
      </c>
      <c r="L24" s="7">
        <v>-86.249760067332659</v>
      </c>
      <c r="M24" s="7">
        <v>-173.19368297586922</v>
      </c>
      <c r="N24" s="7">
        <v>-709.29723999999965</v>
      </c>
      <c r="O24" s="7">
        <v>-432.95293015738957</v>
      </c>
      <c r="P24" s="7">
        <v>-294.44319655516415</v>
      </c>
      <c r="Q24" s="7">
        <v>-642.2214701916123</v>
      </c>
      <c r="R24" s="7">
        <v>-1422.5764733624405</v>
      </c>
      <c r="S24" s="138">
        <v>-2117.989142682</v>
      </c>
      <c r="T24" s="138">
        <v>-2916.3434035760006</v>
      </c>
      <c r="U24" s="138">
        <v>-531.74487336755976</v>
      </c>
      <c r="V24" s="138">
        <v>-1474.9223400000001</v>
      </c>
      <c r="W24" s="138">
        <v>-2340.9477649574578</v>
      </c>
      <c r="X24" s="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x14ac:dyDescent="0.3">
      <c r="A25" s="54" t="str">
        <f>HLOOKUP(Chosen,Hide!$A$219:$C$266, 23, FALSE)</f>
        <v>Pozostałe</v>
      </c>
      <c r="B25" s="7">
        <v>0</v>
      </c>
      <c r="C25" s="7">
        <v>7</v>
      </c>
      <c r="D25" s="7">
        <v>-457</v>
      </c>
      <c r="E25" s="7">
        <v>0</v>
      </c>
      <c r="F25" s="7">
        <v>-2</v>
      </c>
      <c r="G25" s="7">
        <v>-0.6</v>
      </c>
      <c r="H25" s="7">
        <v>-2</v>
      </c>
      <c r="I25" s="7">
        <v>-2</v>
      </c>
      <c r="J25" s="7">
        <v>-30.72</v>
      </c>
      <c r="K25" s="7">
        <v>8.6851840149592991</v>
      </c>
      <c r="L25" s="7">
        <v>50.447887112326498</v>
      </c>
      <c r="M25" s="7">
        <v>79.46965000000003</v>
      </c>
      <c r="N25" s="7">
        <v>153.71000000000006</v>
      </c>
      <c r="O25" s="7">
        <v>247.53544000000002</v>
      </c>
      <c r="P25" s="7">
        <v>334.71674000000013</v>
      </c>
      <c r="Q25" s="7">
        <v>67.489809999999977</v>
      </c>
      <c r="R25" s="7">
        <v>154.50093000000021</v>
      </c>
      <c r="S25" s="138">
        <v>330.73372000000023</v>
      </c>
      <c r="T25" s="138">
        <v>303.72651000000025</v>
      </c>
      <c r="U25" s="138">
        <v>-19.637209999999826</v>
      </c>
      <c r="V25" s="138">
        <v>29.4214345479215</v>
      </c>
      <c r="W25" s="138">
        <v>685.86583944244899</v>
      </c>
      <c r="X25" s="5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6" customFormat="1" x14ac:dyDescent="0.3">
      <c r="A26" s="50"/>
      <c r="B26" s="8">
        <v>-2907</v>
      </c>
      <c r="C26" s="8">
        <v>17347</v>
      </c>
      <c r="D26" s="8">
        <v>19716</v>
      </c>
      <c r="E26" s="8">
        <v>2742</v>
      </c>
      <c r="F26" s="8">
        <v>-5291</v>
      </c>
      <c r="G26" s="8">
        <v>1067.4782602289815</v>
      </c>
      <c r="H26" s="8">
        <v>7719</v>
      </c>
      <c r="I26" s="8">
        <v>1514</v>
      </c>
      <c r="J26" s="8">
        <v>5841.4504085726194</v>
      </c>
      <c r="K26" s="8">
        <v>8628.5960199999936</v>
      </c>
      <c r="L26" s="8">
        <v>11804.094769999994</v>
      </c>
      <c r="M26" s="8">
        <v>3212.4889690299879</v>
      </c>
      <c r="N26" s="8">
        <v>6517.0916000000016</v>
      </c>
      <c r="O26" s="8">
        <v>9178.6844128139674</v>
      </c>
      <c r="P26" s="8">
        <v>13576.453396258803</v>
      </c>
      <c r="Q26" s="8">
        <v>1090.9963798083875</v>
      </c>
      <c r="R26" s="8">
        <v>-1188.9865133624403</v>
      </c>
      <c r="S26" s="132">
        <v>-4486.4947999999886</v>
      </c>
      <c r="T26" s="132">
        <v>949.79742000000272</v>
      </c>
      <c r="U26" s="132">
        <v>-4809.2514833675732</v>
      </c>
      <c r="V26" s="132">
        <v>-2190.2981974520676</v>
      </c>
      <c r="W26" s="132">
        <v>-992.5777057302198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x14ac:dyDescent="0.3">
      <c r="A27" s="50" t="str">
        <f>HLOOKUP(Chosen,Hide!$A$219:$C$266, 25, FALSE)</f>
        <v>Przepływy pieniężne z działalności inwestycyjnej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5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x14ac:dyDescent="0.3">
      <c r="A28" s="54" t="str">
        <f>HLOOKUP(Chosen,Hide!$A$219:$C$266, 26, FALSE)</f>
        <v>Wpływy ze sprzedaży inwestycji</v>
      </c>
      <c r="B28" s="7">
        <v>6013</v>
      </c>
      <c r="C28" s="7">
        <v>3342</v>
      </c>
      <c r="D28" s="7">
        <v>19520</v>
      </c>
      <c r="E28" s="7">
        <v>0</v>
      </c>
      <c r="F28" s="7">
        <v>11797</v>
      </c>
      <c r="G28" s="7">
        <v>11796.637500000001</v>
      </c>
      <c r="H28" s="7">
        <v>15884</v>
      </c>
      <c r="I28" s="7">
        <v>0</v>
      </c>
      <c r="J28" s="7">
        <v>4148.0595000000003</v>
      </c>
      <c r="K28" s="7">
        <v>4148.0595000000003</v>
      </c>
      <c r="L28" s="7">
        <v>8660.8803000000007</v>
      </c>
      <c r="M28" s="7">
        <v>0</v>
      </c>
      <c r="N28" s="7">
        <v>5825.2987499999999</v>
      </c>
      <c r="O28" s="7">
        <v>5825.2987499999999</v>
      </c>
      <c r="P28" s="7">
        <v>5825.2987499999999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x14ac:dyDescent="0.3">
      <c r="A29" s="54" t="str">
        <f>HLOOKUP(Chosen,Hide!$A$219:$C$266, 27, FALSE)</f>
        <v>Odsetki otrzymane</v>
      </c>
      <c r="B29" s="7">
        <v>3737</v>
      </c>
      <c r="C29" s="7">
        <v>1732</v>
      </c>
      <c r="D29" s="7">
        <v>291</v>
      </c>
      <c r="E29" s="7">
        <v>0</v>
      </c>
      <c r="F29" s="7">
        <v>0</v>
      </c>
      <c r="G29" s="7">
        <v>0</v>
      </c>
      <c r="H29" s="7">
        <v>5098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5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x14ac:dyDescent="0.3">
      <c r="A30" s="54" t="str">
        <f>HLOOKUP(Chosen,Hide!$A$219:$C$266, 28, FALSE)</f>
        <v>Nabycie jednostek zależnych</v>
      </c>
      <c r="B30" s="7">
        <v>0</v>
      </c>
      <c r="C30" s="7">
        <v>0</v>
      </c>
      <c r="D30" s="7">
        <v>-54169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-167.00399999999999</v>
      </c>
      <c r="L30" s="7">
        <v>-167.00399999999999</v>
      </c>
      <c r="M30" s="7">
        <v>-182.53344000000001</v>
      </c>
      <c r="N30" s="7">
        <v>-182.50344000000001</v>
      </c>
      <c r="O30" s="7">
        <v>-182.50344000000001</v>
      </c>
      <c r="P30" s="7">
        <v>-182.40344000000002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5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x14ac:dyDescent="0.3">
      <c r="A31" s="54" t="s">
        <v>373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19720.900000000001</v>
      </c>
      <c r="O31" s="7">
        <v>19720.900000000001</v>
      </c>
      <c r="P31" s="7">
        <v>19720.900000000001</v>
      </c>
      <c r="Q31" s="7">
        <v>729.95201627861707</v>
      </c>
      <c r="R31" s="7">
        <v>729.95201627861707</v>
      </c>
      <c r="S31" s="138">
        <v>729.95201627861707</v>
      </c>
      <c r="T31" s="7">
        <v>729.95201627861707</v>
      </c>
      <c r="U31" s="7">
        <v>0</v>
      </c>
      <c r="V31" s="7">
        <v>0</v>
      </c>
      <c r="W31" s="7">
        <v>0</v>
      </c>
      <c r="X31" s="5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 customHeight="1" x14ac:dyDescent="0.3">
      <c r="A32" s="54" t="str">
        <f>HLOOKUP(Chosen,Hide!$A$219:$C$266, 29, FALSE)</f>
        <v>Udzielone pożyczki</v>
      </c>
      <c r="B32" s="7">
        <v>0</v>
      </c>
      <c r="C32" s="7">
        <v>0</v>
      </c>
      <c r="D32" s="7">
        <v>-44544</v>
      </c>
      <c r="E32" s="7">
        <v>-27799</v>
      </c>
      <c r="F32" s="7">
        <v>-27799</v>
      </c>
      <c r="G32" s="7">
        <v>-27798.986550000001</v>
      </c>
      <c r="H32" s="7">
        <v>-27799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-7673</v>
      </c>
      <c r="O32" s="7">
        <v>-7673</v>
      </c>
      <c r="P32" s="7">
        <v>-7673</v>
      </c>
      <c r="Q32" s="7">
        <v>0</v>
      </c>
      <c r="R32" s="7">
        <v>0</v>
      </c>
      <c r="S32" s="7">
        <v>0</v>
      </c>
      <c r="T32" s="7">
        <v>0</v>
      </c>
      <c r="U32" s="7">
        <v>-1500.28</v>
      </c>
      <c r="V32" s="7">
        <v>-1500.28</v>
      </c>
      <c r="W32" s="7">
        <v>-1500.28</v>
      </c>
      <c r="X32" s="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x14ac:dyDescent="0.3">
      <c r="A33" s="60" t="str">
        <f>HLOOKUP(Chosen,Hide!$A$219:$C$266, 30, FALSE)</f>
        <v>Nabycie rzeczowych aktywów trwałych i wartości niematerialnych</v>
      </c>
      <c r="B33" s="7">
        <v>-747</v>
      </c>
      <c r="C33" s="7">
        <v>-2693</v>
      </c>
      <c r="D33" s="7">
        <v>-2948</v>
      </c>
      <c r="E33" s="7">
        <v>-5690</v>
      </c>
      <c r="F33" s="7">
        <v>-1860</v>
      </c>
      <c r="G33" s="7">
        <v>-2986.8010499999996</v>
      </c>
      <c r="H33" s="7">
        <v>-4382</v>
      </c>
      <c r="I33" s="7">
        <v>-1349</v>
      </c>
      <c r="J33" s="7">
        <v>-2747.3245099999999</v>
      </c>
      <c r="K33" s="7">
        <v>-4375.6455299999998</v>
      </c>
      <c r="L33" s="7">
        <v>-6158.1418799999992</v>
      </c>
      <c r="M33" s="7">
        <v>-1628.4559400000003</v>
      </c>
      <c r="N33" s="7">
        <v>-2981.6286100000002</v>
      </c>
      <c r="O33" s="7">
        <v>-4169.48614</v>
      </c>
      <c r="P33" s="7">
        <v>-5475.6350000000011</v>
      </c>
      <c r="Q33" s="7">
        <v>-1102.2035699999994</v>
      </c>
      <c r="R33" s="7">
        <v>-2011.4196899999999</v>
      </c>
      <c r="S33" s="136">
        <v>-3243.095025000001</v>
      </c>
      <c r="T33" s="7">
        <v>-4875.9375700000019</v>
      </c>
      <c r="U33" s="7">
        <v>-1832.9367499999994</v>
      </c>
      <c r="V33" s="7">
        <v>-3455.6426999999994</v>
      </c>
      <c r="W33" s="136">
        <v>-5144.5279800000008</v>
      </c>
      <c r="X33" s="5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x14ac:dyDescent="0.3">
      <c r="A34" s="60" t="str">
        <f>HLOOKUP(Chosen,Hide!$A$219:$C$266, 31, FALSE)</f>
        <v>Wpływy z tytułu sprzedaży rzeczowych aktywów trwałych i wartości niematerialnych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x14ac:dyDescent="0.3">
      <c r="A35" s="60" t="str">
        <f>HLOOKUP(Chosen,Hide!$A$219:$C$266, 32, FALSE)</f>
        <v>Inne wydatki (koszty przejęcia spółki zależnej, wydatki na prace rozwojowe)</v>
      </c>
      <c r="B35" s="7">
        <v>-4413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-43.406989999999993</v>
      </c>
      <c r="N35" s="114">
        <v>-67.471799999999988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x14ac:dyDescent="0.3">
      <c r="A36" s="60" t="str">
        <f>HLOOKUP(Chosen,Hide!$A$219:$C$266, 33, FALSE)</f>
        <v>Inne wpływy finansowe</v>
      </c>
      <c r="B36" s="7">
        <v>0</v>
      </c>
      <c r="C36" s="7">
        <v>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x14ac:dyDescent="0.3">
      <c r="A37" s="54" t="str">
        <f>HLOOKUP(Chosen,Hide!$A$219:$C$266, 34, FALSE)</f>
        <v>Nabycie pozostałych inwestycji</v>
      </c>
      <c r="B37" s="7">
        <v>-11226</v>
      </c>
      <c r="C37" s="7">
        <v>-18472</v>
      </c>
      <c r="D37" s="7">
        <v>0</v>
      </c>
      <c r="E37" s="7">
        <v>0</v>
      </c>
      <c r="F37" s="7">
        <v>-40</v>
      </c>
      <c r="G37" s="7">
        <v>-40</v>
      </c>
      <c r="H37" s="7">
        <v>-80</v>
      </c>
      <c r="I37" s="7">
        <v>0</v>
      </c>
      <c r="J37" s="7">
        <v>0</v>
      </c>
      <c r="K37" s="7">
        <v>-40</v>
      </c>
      <c r="L37" s="7">
        <v>-40</v>
      </c>
      <c r="M37" s="7">
        <v>0</v>
      </c>
      <c r="N37" s="7">
        <v>-40</v>
      </c>
      <c r="O37" s="7">
        <v>-40</v>
      </c>
      <c r="P37" s="7">
        <v>-80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5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x14ac:dyDescent="0.3">
      <c r="A38" s="54" t="str">
        <f>HLOOKUP(Chosen,Hide!$A$219:$C$266, 35, FALSE)</f>
        <v>Zmiana stanu zobowiązań z tyt. nabycia wartości niematerialnych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x14ac:dyDescent="0.3">
      <c r="A39" s="54" t="str">
        <f>HLOOKUP(Chosen,Hide!$A$219:$C$268, 50, FALSE)</f>
        <v>Dopłaty do kapitału jednostek zależnych</v>
      </c>
      <c r="B39" s="7">
        <v>0</v>
      </c>
      <c r="C39" s="7">
        <v>0</v>
      </c>
      <c r="D39" s="7">
        <v>0</v>
      </c>
      <c r="E39" s="7">
        <v>0</v>
      </c>
      <c r="F39" s="7">
        <v>-8051</v>
      </c>
      <c r="G39" s="7">
        <v>-8050.9597400000002</v>
      </c>
      <c r="H39" s="7">
        <v>-8051</v>
      </c>
      <c r="I39" s="7">
        <v>0</v>
      </c>
      <c r="J39" s="7">
        <v>0</v>
      </c>
      <c r="K39" s="7">
        <v>-1100</v>
      </c>
      <c r="L39" s="7">
        <v>-1100</v>
      </c>
      <c r="M39" s="7">
        <v>0</v>
      </c>
      <c r="N39" s="7">
        <v>0</v>
      </c>
      <c r="O39" s="7">
        <v>-105.46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5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s="6" customFormat="1" x14ac:dyDescent="0.3">
      <c r="A40" s="50"/>
      <c r="B40" s="8">
        <v>-6636</v>
      </c>
      <c r="C40" s="8">
        <v>-16056</v>
      </c>
      <c r="D40" s="8">
        <v>-81850</v>
      </c>
      <c r="E40" s="8">
        <v>-33489</v>
      </c>
      <c r="F40" s="8">
        <v>-25953</v>
      </c>
      <c r="G40" s="8">
        <v>-27080.109839999997</v>
      </c>
      <c r="H40" s="8">
        <v>-19330</v>
      </c>
      <c r="I40" s="8">
        <v>-1349</v>
      </c>
      <c r="J40" s="8">
        <v>1400.7349900000004</v>
      </c>
      <c r="K40" s="8">
        <v>-1534.5900299999994</v>
      </c>
      <c r="L40" s="8">
        <v>1195.7344200000016</v>
      </c>
      <c r="M40" s="8">
        <v>-1854.3963700000002</v>
      </c>
      <c r="N40" s="8">
        <v>14600.744900000005</v>
      </c>
      <c r="O40" s="8">
        <v>13375.749170000003</v>
      </c>
      <c r="P40" s="8">
        <v>12135.160310000001</v>
      </c>
      <c r="Q40" s="8">
        <v>-372.25155372138238</v>
      </c>
      <c r="R40" s="8">
        <v>-1281.4676737213829</v>
      </c>
      <c r="S40" s="132">
        <v>-2513.1430087213839</v>
      </c>
      <c r="T40" s="132">
        <v>-4145.9855537213843</v>
      </c>
      <c r="U40" s="132">
        <v>-3333.2167499999996</v>
      </c>
      <c r="V40" s="132">
        <v>-4955.9226999999992</v>
      </c>
      <c r="W40" s="132">
        <v>-6644.8079800000005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3">
      <c r="A41" s="50" t="str">
        <f>HLOOKUP(Chosen,Hide!$A$219:$C$266, 37, FALSE)</f>
        <v>Przepływy pieniężne z działalności finansowej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5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x14ac:dyDescent="0.3">
      <c r="A42" s="54" t="str">
        <f>HLOOKUP(Chosen,Hide!$A$219:$C$266, 38, FALSE)</f>
        <v>Wpływy z emisji instrumentów dłużnych</v>
      </c>
      <c r="B42" s="7">
        <v>0</v>
      </c>
      <c r="C42" s="7">
        <v>0</v>
      </c>
      <c r="D42" s="7">
        <v>50000</v>
      </c>
      <c r="E42" s="11" t="s">
        <v>114</v>
      </c>
      <c r="F42" s="11">
        <v>0</v>
      </c>
      <c r="G42" s="11">
        <v>0</v>
      </c>
      <c r="H42" s="7">
        <v>0</v>
      </c>
      <c r="I42" s="11">
        <v>0</v>
      </c>
      <c r="J42" s="11">
        <v>0</v>
      </c>
      <c r="K42" s="11">
        <v>0</v>
      </c>
      <c r="L42" s="7">
        <v>0</v>
      </c>
      <c r="M42" s="7">
        <v>0</v>
      </c>
      <c r="N42" s="11">
        <v>0</v>
      </c>
      <c r="O42" s="11">
        <v>0</v>
      </c>
      <c r="P42" s="7">
        <v>0</v>
      </c>
      <c r="Q42" s="11">
        <v>0</v>
      </c>
      <c r="R42" s="11">
        <v>0</v>
      </c>
      <c r="S42" s="11">
        <v>0</v>
      </c>
      <c r="T42" s="7">
        <v>0</v>
      </c>
      <c r="U42" s="7">
        <v>0</v>
      </c>
      <c r="V42" s="7">
        <v>0</v>
      </c>
      <c r="W42" s="11">
        <v>0</v>
      </c>
      <c r="X42" s="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x14ac:dyDescent="0.3">
      <c r="A43" s="54" t="str">
        <f>HLOOKUP(Chosen,Hide!$A$219:$C$266, 39, FALSE)</f>
        <v>Wpływy z tytułu wydania akcji</v>
      </c>
      <c r="B43" s="7">
        <v>3</v>
      </c>
      <c r="C43" s="7">
        <v>0</v>
      </c>
      <c r="D43" s="7">
        <v>32186</v>
      </c>
      <c r="E43" s="11" t="s">
        <v>114</v>
      </c>
      <c r="F43" s="11">
        <v>0</v>
      </c>
      <c r="G43" s="11">
        <v>0</v>
      </c>
      <c r="H43" s="7">
        <v>0</v>
      </c>
      <c r="I43" s="11">
        <v>0</v>
      </c>
      <c r="J43" s="11">
        <v>0</v>
      </c>
      <c r="K43" s="11">
        <v>0</v>
      </c>
      <c r="L43" s="7">
        <v>0</v>
      </c>
      <c r="M43" s="7">
        <v>0</v>
      </c>
      <c r="N43" s="11">
        <v>0</v>
      </c>
      <c r="O43" s="11">
        <v>0</v>
      </c>
      <c r="P43" s="7">
        <v>0</v>
      </c>
      <c r="Q43" s="11">
        <v>0</v>
      </c>
      <c r="R43" s="11">
        <v>12579.270549999997</v>
      </c>
      <c r="S43" s="136">
        <v>12579.270549999997</v>
      </c>
      <c r="T43" s="7">
        <v>12579.270549999997</v>
      </c>
      <c r="U43" s="7">
        <v>0</v>
      </c>
      <c r="V43" s="7">
        <v>0</v>
      </c>
      <c r="W43" s="136">
        <v>0</v>
      </c>
      <c r="X43" s="5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x14ac:dyDescent="0.3">
      <c r="A44" s="54" t="str">
        <f>HLOOKUP(Chosen,Hide!$A$219:$C$266, 40, FALSE)</f>
        <v>Wypłata dywidendy</v>
      </c>
      <c r="B44" s="7">
        <v>-4665</v>
      </c>
      <c r="C44" s="7">
        <v>-5529</v>
      </c>
      <c r="D44" s="7">
        <v>-6392</v>
      </c>
      <c r="E44" s="11">
        <v>0</v>
      </c>
      <c r="F44" s="11">
        <v>0</v>
      </c>
      <c r="G44" s="11">
        <v>0</v>
      </c>
      <c r="H44" s="7">
        <v>-7213</v>
      </c>
      <c r="I44" s="11">
        <v>0</v>
      </c>
      <c r="J44" s="11">
        <v>0</v>
      </c>
      <c r="K44" s="11">
        <v>-5121.26692</v>
      </c>
      <c r="L44" s="7">
        <v>-5121.26692</v>
      </c>
      <c r="M44" s="7">
        <v>0</v>
      </c>
      <c r="N44" s="11">
        <v>0</v>
      </c>
      <c r="O44" s="11">
        <v>0</v>
      </c>
      <c r="P44" s="7">
        <v>0</v>
      </c>
      <c r="Q44" s="11">
        <v>0</v>
      </c>
      <c r="R44" s="11">
        <v>0</v>
      </c>
      <c r="S44" s="11">
        <v>0</v>
      </c>
      <c r="T44" s="7">
        <v>0</v>
      </c>
      <c r="U44" s="7">
        <v>0</v>
      </c>
      <c r="V44" s="7">
        <v>0</v>
      </c>
      <c r="W44" s="11">
        <v>0</v>
      </c>
      <c r="X44" s="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x14ac:dyDescent="0.3">
      <c r="A45" s="54" t="str">
        <f>HLOOKUP(Chosen,Hide!$A$219:$C$266, 41, FALSE)</f>
        <v>Wpływy z tytułu zaciągniętych kredytów</v>
      </c>
      <c r="B45" s="7">
        <v>0</v>
      </c>
      <c r="C45" s="7">
        <v>0</v>
      </c>
      <c r="D45" s="7">
        <v>0</v>
      </c>
      <c r="E45" s="7">
        <v>649</v>
      </c>
      <c r="F45" s="7">
        <v>1401</v>
      </c>
      <c r="G45" s="7">
        <v>3.9249500000000008</v>
      </c>
      <c r="H45" s="7">
        <v>2</v>
      </c>
      <c r="I45" s="7">
        <v>0</v>
      </c>
      <c r="J45" s="7">
        <v>0</v>
      </c>
      <c r="K45" s="7">
        <v>0</v>
      </c>
      <c r="L45" s="7">
        <v>28.722980000000003</v>
      </c>
      <c r="M45" s="7">
        <v>2.8959899999999976</v>
      </c>
      <c r="N45" s="7">
        <v>19000</v>
      </c>
      <c r="O45" s="7">
        <v>19000.39789</v>
      </c>
      <c r="P45" s="7">
        <v>19000</v>
      </c>
      <c r="Q45" s="7">
        <v>0</v>
      </c>
      <c r="R45" s="7">
        <v>0</v>
      </c>
      <c r="S45" s="7">
        <v>0</v>
      </c>
      <c r="T45" s="7">
        <v>2806.5306500000206</v>
      </c>
      <c r="U45" s="7">
        <v>8553.3120699999981</v>
      </c>
      <c r="V45" s="141">
        <f>[6]Przepływy!$C$39</f>
        <v>9710.2577699999983</v>
      </c>
      <c r="W45" s="7">
        <v>7589.9221699999962</v>
      </c>
      <c r="X45" s="5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x14ac:dyDescent="0.3">
      <c r="A46" s="54" t="str">
        <f>HLOOKUP(Chosen,Hide!$A$219:$C$266, 42, FALSE)</f>
        <v>Spłata kredytów i pożyczek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-3</v>
      </c>
      <c r="J46" s="7">
        <v>17.58427</v>
      </c>
      <c r="K46" s="7">
        <v>21.454849999999997</v>
      </c>
      <c r="L46" s="7">
        <v>0</v>
      </c>
      <c r="M46" s="7">
        <v>0</v>
      </c>
      <c r="N46" s="7">
        <v>-1677.327</v>
      </c>
      <c r="O46" s="7">
        <v>-4132.0643</v>
      </c>
      <c r="P46" s="7">
        <v>-6596.9380500000007</v>
      </c>
      <c r="Q46" s="7">
        <v>-1263.4882499999999</v>
      </c>
      <c r="R46" s="7">
        <v>-1909.32015</v>
      </c>
      <c r="S46" s="7">
        <v>-2535.4072900000006</v>
      </c>
      <c r="T46" s="7">
        <v>-12849.984729999998</v>
      </c>
      <c r="U46" s="7">
        <v>-183.58473000000004</v>
      </c>
      <c r="V46" s="7">
        <v>-64.828969999999998</v>
      </c>
      <c r="W46" s="7">
        <v>-2.3965500000000004</v>
      </c>
      <c r="X46" s="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x14ac:dyDescent="0.3">
      <c r="A47" s="54" t="s">
        <v>387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-22.575990000000012</v>
      </c>
      <c r="R47" s="7">
        <v>-36.967900000000022</v>
      </c>
      <c r="S47" s="136">
        <v>4.8140599999999996</v>
      </c>
      <c r="T47" s="7">
        <v>15.708980000000013</v>
      </c>
      <c r="U47" s="7">
        <v>2.6540399999999935</v>
      </c>
      <c r="V47" s="7">
        <v>13.36</v>
      </c>
      <c r="W47" s="136">
        <v>-4.6500000000000004</v>
      </c>
      <c r="X47" s="5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x14ac:dyDescent="0.3">
      <c r="A48" s="54" t="s">
        <v>374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-51369</v>
      </c>
      <c r="O48" s="7">
        <v>-51368.5</v>
      </c>
      <c r="P48" s="7">
        <v>-51368.5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x14ac:dyDescent="0.3">
      <c r="A49" s="54" t="s">
        <v>368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-241.98689999999999</v>
      </c>
      <c r="N49" s="7">
        <v>-547.47667999999999</v>
      </c>
      <c r="O49" s="7">
        <v>-802.48861000000011</v>
      </c>
      <c r="P49" s="7">
        <v>-1030.3011999999999</v>
      </c>
      <c r="Q49" s="7">
        <v>-210.67323000000005</v>
      </c>
      <c r="R49" s="7">
        <v>-471.68159999999961</v>
      </c>
      <c r="S49" s="136">
        <v>-878.90811999999971</v>
      </c>
      <c r="T49" s="7">
        <v>-996.05143000000021</v>
      </c>
      <c r="U49" s="7">
        <v>-225.98171999999985</v>
      </c>
      <c r="V49" s="7">
        <v>-472.17489545207854</v>
      </c>
      <c r="W49" s="136">
        <v>-773.76032000000009</v>
      </c>
      <c r="X49" s="5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x14ac:dyDescent="0.3">
      <c r="A50" s="54" t="s">
        <v>369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-28.835549999999998</v>
      </c>
      <c r="N50" s="7">
        <v>-56.911999999999999</v>
      </c>
      <c r="O50" s="7">
        <v>-56.491999999999997</v>
      </c>
      <c r="P50" s="7">
        <v>-110</v>
      </c>
      <c r="Q50" s="7">
        <v>-22.656749999999999</v>
      </c>
      <c r="R50" s="7">
        <v>-44.572369999999992</v>
      </c>
      <c r="S50" s="136">
        <v>-64.538349999999994</v>
      </c>
      <c r="T50" s="7">
        <v>-83.260050000000007</v>
      </c>
      <c r="U50" s="7">
        <v>-16.897099999999998</v>
      </c>
      <c r="V50" s="7">
        <v>-32</v>
      </c>
      <c r="W50" s="136">
        <v>-50.801720000000003</v>
      </c>
      <c r="X50" s="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x14ac:dyDescent="0.3">
      <c r="A51" s="54" t="str">
        <f>HLOOKUP(Chosen,Hide!$A$219:$C$266, 43, FALSE)</f>
        <v>Odsetki zapłacone od obligacji</v>
      </c>
      <c r="B51" s="7">
        <v>0</v>
      </c>
      <c r="C51" s="7">
        <v>0</v>
      </c>
      <c r="D51" s="7">
        <v>-1363</v>
      </c>
      <c r="E51" s="7">
        <v>0</v>
      </c>
      <c r="F51" s="7">
        <v>-1371</v>
      </c>
      <c r="G51" s="7">
        <v>-1371</v>
      </c>
      <c r="H51" s="7">
        <v>-2753</v>
      </c>
      <c r="I51" s="7">
        <v>0</v>
      </c>
      <c r="J51" s="7">
        <v>-1373.5</v>
      </c>
      <c r="K51" s="7">
        <v>-1373.5</v>
      </c>
      <c r="L51" s="7">
        <v>-2747.5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x14ac:dyDescent="0.3">
      <c r="A52" s="55" t="str">
        <f>HLOOKUP(Chosen,Hide!$A$219:$C$266, 44, FALSE)</f>
        <v>Dyskonto od obligacji</v>
      </c>
      <c r="B52" s="7">
        <v>0</v>
      </c>
      <c r="C52" s="7">
        <v>0</v>
      </c>
      <c r="D52" s="7">
        <v>-480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x14ac:dyDescent="0.3">
      <c r="A53" s="55" t="str">
        <f>HLOOKUP(Chosen,Hide!$A$219:$C$266, 45, FALSE)</f>
        <v>Inne wpływy finansowe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82</v>
      </c>
      <c r="K53" s="7">
        <v>208.73930999999999</v>
      </c>
      <c r="L53" s="7">
        <v>385.88147999999995</v>
      </c>
      <c r="M53" s="7">
        <v>131.84765999999999</v>
      </c>
      <c r="N53" s="7">
        <v>300.87593000000004</v>
      </c>
      <c r="O53" s="7">
        <v>487.45059000000003</v>
      </c>
      <c r="P53" s="7">
        <v>632.04178000000002</v>
      </c>
      <c r="Q53" s="7">
        <v>49.509950000000067</v>
      </c>
      <c r="R53" s="7">
        <v>183.69516000000004</v>
      </c>
      <c r="S53" s="136">
        <v>406.39133999999996</v>
      </c>
      <c r="T53" s="7">
        <v>565.43300999999985</v>
      </c>
      <c r="U53" s="7">
        <v>566.58300999999983</v>
      </c>
      <c r="V53" s="7">
        <v>538.50432999999987</v>
      </c>
      <c r="W53" s="136">
        <v>923.62144000000012</v>
      </c>
      <c r="X53" s="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s="6" customFormat="1" x14ac:dyDescent="0.3">
      <c r="A54" s="50"/>
      <c r="B54" s="13">
        <v>-4662</v>
      </c>
      <c r="C54" s="8">
        <v>-5529</v>
      </c>
      <c r="D54" s="8">
        <v>73951</v>
      </c>
      <c r="E54" s="13">
        <v>649</v>
      </c>
      <c r="F54" s="13">
        <v>30</v>
      </c>
      <c r="G54" s="13">
        <v>-1367.0750499999999</v>
      </c>
      <c r="H54" s="8">
        <v>-9964</v>
      </c>
      <c r="I54" s="13">
        <v>-3</v>
      </c>
      <c r="J54" s="13">
        <v>-1273.80108</v>
      </c>
      <c r="K54" s="13">
        <v>-6264.57276</v>
      </c>
      <c r="L54" s="8">
        <v>-7454.1624600000005</v>
      </c>
      <c r="M54" s="13">
        <v>-136.07880000000003</v>
      </c>
      <c r="N54" s="13">
        <v>-34349.339749999999</v>
      </c>
      <c r="O54" s="13">
        <v>-36871.896429999993</v>
      </c>
      <c r="P54" s="8">
        <v>-39473.697469999999</v>
      </c>
      <c r="Q54" s="13">
        <v>-1469.88427</v>
      </c>
      <c r="R54" s="13">
        <v>10300.343689999998</v>
      </c>
      <c r="S54" s="132">
        <v>9511.4221899999957</v>
      </c>
      <c r="T54" s="132">
        <v>2037.6469800000186</v>
      </c>
      <c r="U54" s="132">
        <v>8696.0855699999993</v>
      </c>
      <c r="V54" s="132">
        <v>9693</v>
      </c>
      <c r="W54" s="132">
        <v>7681.9350199999953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6" customFormat="1" x14ac:dyDescent="0.3">
      <c r="A55" s="50" t="str">
        <f>HLOOKUP(Chosen,Hide!$A$219:$C$266, 46, FALSE)</f>
        <v>Przepływy pieniężne netto ogółem</v>
      </c>
      <c r="B55" s="8">
        <v>-14205</v>
      </c>
      <c r="C55" s="8">
        <v>-4238</v>
      </c>
      <c r="D55" s="8">
        <v>11817</v>
      </c>
      <c r="E55" s="8">
        <v>-30098</v>
      </c>
      <c r="F55" s="8">
        <v>-31214</v>
      </c>
      <c r="G55" s="8">
        <v>-27380.036629771017</v>
      </c>
      <c r="H55" s="8">
        <v>-21575</v>
      </c>
      <c r="I55" s="8">
        <v>162</v>
      </c>
      <c r="J55" s="8">
        <v>5968.38431857262</v>
      </c>
      <c r="K55" s="8">
        <v>829.43322999999418</v>
      </c>
      <c r="L55" s="8">
        <v>5545.9667299999965</v>
      </c>
      <c r="M55" s="8">
        <v>1222.0137990299877</v>
      </c>
      <c r="N55" s="8">
        <f>-13231.50325+0.1</f>
        <v>-13231.403249999999</v>
      </c>
      <c r="O55" s="8">
        <v>-14317.462847186023</v>
      </c>
      <c r="P55" s="8">
        <v>-13762.583763741197</v>
      </c>
      <c r="Q55" s="8">
        <v>-751.13944391299492</v>
      </c>
      <c r="R55" s="8">
        <v>7829.889502916174</v>
      </c>
      <c r="S55" s="132">
        <v>2511.7843812786232</v>
      </c>
      <c r="T55" s="132">
        <v>-1157.5411537213631</v>
      </c>
      <c r="U55" s="132">
        <v>553.61733663242649</v>
      </c>
      <c r="V55" s="132">
        <v>2547</v>
      </c>
      <c r="W55" s="132">
        <v>43.949334269775044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3">
      <c r="A56" s="51" t="str">
        <f>HLOOKUP(Chosen,Hide!$A$219:$C$266, 47, FALSE)</f>
        <v>Środki pieniężne i ich ekwiwalenty na początek okresu</v>
      </c>
      <c r="B56" s="7">
        <v>38405</v>
      </c>
      <c r="C56" s="7">
        <v>24200</v>
      </c>
      <c r="D56" s="7">
        <v>19962</v>
      </c>
      <c r="E56" s="7">
        <v>31779</v>
      </c>
      <c r="F56" s="7">
        <v>31779</v>
      </c>
      <c r="G56" s="7">
        <v>31778.65</v>
      </c>
      <c r="H56" s="7">
        <v>31779</v>
      </c>
      <c r="I56" s="7">
        <v>10204</v>
      </c>
      <c r="J56" s="7">
        <v>10204</v>
      </c>
      <c r="K56" s="7">
        <v>10204</v>
      </c>
      <c r="L56" s="7">
        <v>10203.709999999999</v>
      </c>
      <c r="M56" s="7">
        <v>15750</v>
      </c>
      <c r="N56" s="7">
        <v>15750</v>
      </c>
      <c r="O56" s="7">
        <v>15750</v>
      </c>
      <c r="P56" s="7">
        <v>15749.766730000001</v>
      </c>
      <c r="Q56" s="7">
        <v>1987</v>
      </c>
      <c r="R56" s="7">
        <v>1987.4179999999997</v>
      </c>
      <c r="S56" s="135">
        <v>1987.4179999999997</v>
      </c>
      <c r="T56" s="135">
        <v>1987.4179999999997</v>
      </c>
      <c r="U56" s="135">
        <v>828.84388000000001</v>
      </c>
      <c r="V56" s="135">
        <v>829</v>
      </c>
      <c r="W56" s="135">
        <v>828.84388000000001</v>
      </c>
      <c r="X56" s="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s="6" customFormat="1" x14ac:dyDescent="0.3">
      <c r="A57" s="50" t="str">
        <f>HLOOKUP(Chosen,Hide!$A$219:$C$266, 48, FALSE)</f>
        <v>Środki pieniężne na koniec okresu</v>
      </c>
      <c r="B57" s="8">
        <v>24200</v>
      </c>
      <c r="C57" s="8">
        <v>19962</v>
      </c>
      <c r="D57" s="8">
        <v>31779</v>
      </c>
      <c r="E57" s="8">
        <v>1681</v>
      </c>
      <c r="F57" s="8">
        <v>565</v>
      </c>
      <c r="G57" s="8">
        <v>4398.6133702289844</v>
      </c>
      <c r="H57" s="8">
        <v>10204</v>
      </c>
      <c r="I57" s="8">
        <v>10366</v>
      </c>
      <c r="J57" s="8">
        <v>16172.38431857262</v>
      </c>
      <c r="K57" s="8">
        <v>11033.433229999995</v>
      </c>
      <c r="L57" s="8">
        <v>15749.766730000001</v>
      </c>
      <c r="M57" s="8">
        <v>16972.013799029988</v>
      </c>
      <c r="N57" s="8">
        <v>2519</v>
      </c>
      <c r="O57" s="8">
        <v>1432.5371528139767</v>
      </c>
      <c r="P57" s="8">
        <v>1987.4179999999997</v>
      </c>
      <c r="Q57" s="8">
        <v>1235.8605560870051</v>
      </c>
      <c r="R57" s="8">
        <v>9817.3075029161737</v>
      </c>
      <c r="S57" s="147">
        <v>4499.2023812786229</v>
      </c>
      <c r="T57" s="147">
        <v>828.84388000000001</v>
      </c>
      <c r="U57" s="147">
        <v>1383</v>
      </c>
      <c r="V57" s="147">
        <v>3374</v>
      </c>
      <c r="W57" s="147">
        <v>872.79321426977504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3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x14ac:dyDescent="0.3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x14ac:dyDescent="0.3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x14ac:dyDescent="0.3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x14ac:dyDescent="0.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x14ac:dyDescent="0.3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x14ac:dyDescent="0.3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x14ac:dyDescent="0.3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x14ac:dyDescent="0.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2:60" x14ac:dyDescent="0.3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x14ac:dyDescent="0.3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x14ac:dyDescent="0.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x14ac:dyDescent="0.3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2:60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2:60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2:60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2:60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2:60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2:60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2:60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2:60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2:60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2:60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2:60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2:60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2:60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2:60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2:60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2:60" x14ac:dyDescent="0.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2:60" x14ac:dyDescent="0.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2:60" x14ac:dyDescent="0.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2:60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2:60" x14ac:dyDescent="0.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2:60" x14ac:dyDescent="0.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2:60" x14ac:dyDescent="0.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2:60" x14ac:dyDescent="0.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2:60" x14ac:dyDescent="0.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2:60" x14ac:dyDescent="0.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2:60" x14ac:dyDescent="0.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2:60" x14ac:dyDescent="0.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2:60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2:60" x14ac:dyDescent="0.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2:60" x14ac:dyDescent="0.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2:60" x14ac:dyDescent="0.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2:60" x14ac:dyDescent="0.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2:60" x14ac:dyDescent="0.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2:60" x14ac:dyDescent="0.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2:60" x14ac:dyDescent="0.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2:60" x14ac:dyDescent="0.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2:60" x14ac:dyDescent="0.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2:60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2:60" x14ac:dyDescent="0.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2:60" x14ac:dyDescent="0.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2:60" x14ac:dyDescent="0.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2:60" x14ac:dyDescent="0.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2:60" x14ac:dyDescent="0.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2:60" x14ac:dyDescent="0.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2:60" x14ac:dyDescent="0.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2:60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2:60" x14ac:dyDescent="0.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2:60" x14ac:dyDescent="0.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2:60" x14ac:dyDescent="0.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2:60" x14ac:dyDescent="0.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2:60" x14ac:dyDescent="0.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2:60" x14ac:dyDescent="0.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2:60" x14ac:dyDescent="0.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2:60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2:60" x14ac:dyDescent="0.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 spans="2:60" x14ac:dyDescent="0.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2:60" x14ac:dyDescent="0.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 spans="2:60" x14ac:dyDescent="0.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 spans="2:60" x14ac:dyDescent="0.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 spans="2:60" x14ac:dyDescent="0.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2:60" x14ac:dyDescent="0.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 spans="2:60" x14ac:dyDescent="0.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2:60" x14ac:dyDescent="0.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 spans="2:60" x14ac:dyDescent="0.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2:60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2:60" x14ac:dyDescent="0.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 spans="2:60" x14ac:dyDescent="0.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2:60" x14ac:dyDescent="0.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2:60" x14ac:dyDescent="0.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2:60" x14ac:dyDescent="0.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 spans="2:60" x14ac:dyDescent="0.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 spans="2:60" x14ac:dyDescent="0.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2:60" x14ac:dyDescent="0.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2:60" x14ac:dyDescent="0.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2:60" x14ac:dyDescent="0.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2:60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2:60" x14ac:dyDescent="0.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2:60" x14ac:dyDescent="0.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2:60" x14ac:dyDescent="0.3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2:60" x14ac:dyDescent="0.3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 spans="2:60" x14ac:dyDescent="0.3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 spans="2:60" x14ac:dyDescent="0.3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2:60" x14ac:dyDescent="0.3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2:60" x14ac:dyDescent="0.3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2:60" x14ac:dyDescent="0.3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2:60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 spans="2:60" x14ac:dyDescent="0.3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2:60" x14ac:dyDescent="0.3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 spans="2:60" x14ac:dyDescent="0.3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 spans="2:60" x14ac:dyDescent="0.3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 spans="2:60" x14ac:dyDescent="0.3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2:60" x14ac:dyDescent="0.3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2:60" x14ac:dyDescent="0.3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2:60" x14ac:dyDescent="0.3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2:60" x14ac:dyDescent="0.3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2:60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2:60" x14ac:dyDescent="0.3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2:60" x14ac:dyDescent="0.3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2:60" x14ac:dyDescent="0.3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2:60" x14ac:dyDescent="0.3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 spans="2:60" x14ac:dyDescent="0.3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2:60" x14ac:dyDescent="0.3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 spans="2:60" x14ac:dyDescent="0.3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 spans="2:60" x14ac:dyDescent="0.3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 spans="2:60" x14ac:dyDescent="0.3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2:60" x14ac:dyDescent="0.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2:60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2:60" x14ac:dyDescent="0.3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2:60" x14ac:dyDescent="0.3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2:60" x14ac:dyDescent="0.3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2:60" x14ac:dyDescent="0.3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 spans="2:60" x14ac:dyDescent="0.3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 spans="2:60" x14ac:dyDescent="0.3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2:60" x14ac:dyDescent="0.3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 spans="2:60" x14ac:dyDescent="0.3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2:60" x14ac:dyDescent="0.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2:60" x14ac:dyDescent="0.3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 spans="2:60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2:60" x14ac:dyDescent="0.3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2:60" x14ac:dyDescent="0.3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 spans="2:60" x14ac:dyDescent="0.3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 spans="2:60" x14ac:dyDescent="0.3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 spans="2:60" x14ac:dyDescent="0.3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2:60" x14ac:dyDescent="0.3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 spans="2:60" x14ac:dyDescent="0.3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2:60" x14ac:dyDescent="0.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 spans="2:60" x14ac:dyDescent="0.3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2:60" x14ac:dyDescent="0.3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 spans="2:60" x14ac:dyDescent="0.3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</sheetData>
  <sheetProtection formatCells="0" formatColumns="0" formatRows="0" insertColumns="0" insertRows="0" insertHyperlinks="0" deleteColumns="0" deleteRows="0" sort="0" autoFilter="0" pivotTables="0"/>
  <phoneticPr fontId="34" type="noConversion"/>
  <hyperlinks>
    <hyperlink ref="A1" location="HOME!A1" display="HOME!A1" xr:uid="{00000000-0004-0000-0600-000000000000}"/>
  </hyperlinks>
  <pageMargins left="0.7" right="0.7" top="0.75" bottom="0.75" header="0.3" footer="0.3"/>
  <pageSetup paperSize="9" orientation="portrait" r:id="rId1"/>
  <ignoredErrors>
    <ignoredError sqref="V4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theme="8" tint="-0.249977111117893"/>
  </sheetPr>
  <dimension ref="A1:CD9"/>
  <sheetViews>
    <sheetView showGridLines="0" workbookViewId="0">
      <pane xSplit="1" ySplit="3" topLeftCell="BU4" activePane="bottomRight" state="frozen"/>
      <selection activeCell="A17" sqref="A17"/>
      <selection pane="topRight" activeCell="A17" sqref="A17"/>
      <selection pane="bottomLeft" activeCell="A17" sqref="A17"/>
      <selection pane="bottomRight" activeCell="CE10" sqref="CE10"/>
    </sheetView>
  </sheetViews>
  <sheetFormatPr defaultColWidth="8.5546875" defaultRowHeight="14.4" outlineLevelCol="1" x14ac:dyDescent="0.3"/>
  <cols>
    <col min="1" max="1" width="28.44140625" style="2" customWidth="1"/>
    <col min="2" max="4" width="10.33203125" style="23" customWidth="1" outlineLevel="1"/>
    <col min="5" max="5" width="10.33203125" style="2" customWidth="1" outlineLevel="1"/>
    <col min="6" max="6" width="8.5546875" style="2"/>
    <col min="7" max="7" width="8.5546875" style="2" customWidth="1" outlineLevel="1"/>
    <col min="8" max="8" width="9.5546875" style="2" customWidth="1" outlineLevel="1"/>
    <col min="9" max="9" width="8.5546875" style="2" customWidth="1" outlineLevel="1"/>
    <col min="10" max="10" width="8.5546875" style="2"/>
    <col min="11" max="13" width="8.5546875" style="2" customWidth="1" outlineLevel="1"/>
    <col min="14" max="14" width="8.5546875" style="2"/>
    <col min="15" max="17" width="8.5546875" style="2" hidden="1" customWidth="1" outlineLevel="1"/>
    <col min="18" max="18" width="8.5546875" style="2" collapsed="1"/>
    <col min="19" max="16384" width="8.5546875" style="2"/>
  </cols>
  <sheetData>
    <row r="1" spans="1:82" x14ac:dyDescent="0.3">
      <c r="A1" s="3" t="str">
        <f>HLOOKUP(Chosen,Hide!$A$9:$C$11, 2, FALSE)</f>
        <v>SPIS TREŚCI</v>
      </c>
    </row>
    <row r="2" spans="1:82" x14ac:dyDescent="0.3">
      <c r="A2" s="36" t="str">
        <f>HLOOKUP(Chosen,Hide!$A$287:$C$291, 3, FALSE)</f>
        <v>WNIOSKI</v>
      </c>
    </row>
    <row r="3" spans="1:82" s="32" customFormat="1" x14ac:dyDescent="0.3">
      <c r="B3" s="34" t="s">
        <v>11</v>
      </c>
      <c r="C3" s="34" t="s">
        <v>12</v>
      </c>
      <c r="D3" s="34" t="s">
        <v>13</v>
      </c>
      <c r="E3" s="34" t="s">
        <v>14</v>
      </c>
      <c r="F3" s="35" t="s">
        <v>15</v>
      </c>
      <c r="G3" s="34" t="s">
        <v>109</v>
      </c>
      <c r="H3" s="34" t="s">
        <v>110</v>
      </c>
      <c r="I3" s="34" t="s">
        <v>111</v>
      </c>
      <c r="J3" s="35" t="s">
        <v>112</v>
      </c>
      <c r="K3" s="34" t="s">
        <v>113</v>
      </c>
      <c r="L3" s="34" t="s">
        <v>319</v>
      </c>
      <c r="M3" s="34" t="s">
        <v>320</v>
      </c>
      <c r="N3" s="35" t="s">
        <v>322</v>
      </c>
      <c r="O3" s="34" t="s">
        <v>321</v>
      </c>
      <c r="P3" s="34" t="s">
        <v>326</v>
      </c>
      <c r="Q3" s="34" t="s">
        <v>327</v>
      </c>
      <c r="R3" s="35" t="s">
        <v>325</v>
      </c>
      <c r="S3" s="109">
        <v>2017</v>
      </c>
      <c r="T3" s="34" t="s">
        <v>334</v>
      </c>
      <c r="U3" s="34" t="s">
        <v>335</v>
      </c>
      <c r="V3" s="34" t="s">
        <v>336</v>
      </c>
      <c r="W3" s="35" t="s">
        <v>328</v>
      </c>
      <c r="X3" s="34" t="s">
        <v>337</v>
      </c>
      <c r="Y3" s="34" t="s">
        <v>338</v>
      </c>
      <c r="Z3" s="34" t="s">
        <v>339</v>
      </c>
      <c r="AA3" s="35" t="s">
        <v>340</v>
      </c>
      <c r="AB3" s="34" t="s">
        <v>341</v>
      </c>
      <c r="AC3" s="34" t="s">
        <v>346</v>
      </c>
      <c r="AD3" s="34" t="s">
        <v>345</v>
      </c>
      <c r="AE3" s="35" t="s">
        <v>347</v>
      </c>
      <c r="AF3" s="34" t="s">
        <v>358</v>
      </c>
      <c r="AG3" s="34" t="s">
        <v>359</v>
      </c>
      <c r="AH3" s="34" t="s">
        <v>360</v>
      </c>
      <c r="AI3" s="35" t="s">
        <v>357</v>
      </c>
      <c r="AJ3" s="109">
        <v>2018</v>
      </c>
      <c r="AK3" s="34" t="s">
        <v>370</v>
      </c>
      <c r="AL3" s="34" t="s">
        <v>371</v>
      </c>
      <c r="AM3" s="34" t="s">
        <v>372</v>
      </c>
      <c r="AN3" s="35" t="s">
        <v>361</v>
      </c>
      <c r="AO3" s="34" t="s">
        <v>376</v>
      </c>
      <c r="AP3" s="34" t="s">
        <v>377</v>
      </c>
      <c r="AQ3" s="34" t="s">
        <v>378</v>
      </c>
      <c r="AR3" s="35" t="s">
        <v>362</v>
      </c>
      <c r="AS3" s="34" t="s">
        <v>379</v>
      </c>
      <c r="AT3" s="34" t="s">
        <v>380</v>
      </c>
      <c r="AU3" s="34" t="s">
        <v>381</v>
      </c>
      <c r="AV3" s="35" t="s">
        <v>363</v>
      </c>
      <c r="AW3" s="34" t="s">
        <v>383</v>
      </c>
      <c r="AX3" s="34" t="s">
        <v>384</v>
      </c>
      <c r="AY3" s="34" t="s">
        <v>385</v>
      </c>
      <c r="AZ3" s="35" t="s">
        <v>364</v>
      </c>
      <c r="BA3" s="109">
        <v>2019</v>
      </c>
      <c r="BB3" s="34" t="s">
        <v>388</v>
      </c>
      <c r="BC3" s="34" t="s">
        <v>389</v>
      </c>
      <c r="BD3" s="34" t="s">
        <v>390</v>
      </c>
      <c r="BE3" s="35" t="s">
        <v>386</v>
      </c>
      <c r="BF3" s="34" t="s">
        <v>395</v>
      </c>
      <c r="BG3" s="34" t="s">
        <v>396</v>
      </c>
      <c r="BH3" s="34" t="s">
        <v>397</v>
      </c>
      <c r="BI3" s="35" t="s">
        <v>391</v>
      </c>
      <c r="BJ3" s="34" t="s">
        <v>398</v>
      </c>
      <c r="BK3" s="34" t="s">
        <v>399</v>
      </c>
      <c r="BL3" s="34" t="s">
        <v>400</v>
      </c>
      <c r="BM3" s="35" t="s">
        <v>401</v>
      </c>
      <c r="BN3" s="34" t="s">
        <v>406</v>
      </c>
      <c r="BO3" s="34" t="s">
        <v>407</v>
      </c>
      <c r="BP3" s="34" t="s">
        <v>408</v>
      </c>
      <c r="BQ3" s="35" t="s">
        <v>403</v>
      </c>
      <c r="BR3" s="109">
        <v>2020</v>
      </c>
      <c r="BS3" s="34" t="s">
        <v>410</v>
      </c>
      <c r="BT3" s="34" t="s">
        <v>411</v>
      </c>
      <c r="BU3" s="34" t="s">
        <v>412</v>
      </c>
      <c r="BV3" s="35" t="s">
        <v>413</v>
      </c>
      <c r="BW3" s="34" t="s">
        <v>415</v>
      </c>
      <c r="BX3" s="34" t="s">
        <v>417</v>
      </c>
      <c r="BY3" s="34" t="s">
        <v>418</v>
      </c>
      <c r="BZ3" s="35" t="s">
        <v>414</v>
      </c>
      <c r="CA3" s="34" t="s">
        <v>421</v>
      </c>
      <c r="CB3" s="34" t="s">
        <v>422</v>
      </c>
      <c r="CC3" s="34" t="s">
        <v>423</v>
      </c>
      <c r="CD3" s="35" t="s">
        <v>413</v>
      </c>
    </row>
    <row r="4" spans="1:82" s="30" customFormat="1" ht="33" customHeight="1" x14ac:dyDescent="0.3">
      <c r="A4" s="36" t="str">
        <f>HLOOKUP(Chosen,Hide!$A$287:$C$291, 2, FALSE)</f>
        <v xml:space="preserve">Liczba złożonych wniosków o płatność od ubezpieczycieli </v>
      </c>
      <c r="B4" s="28">
        <v>14571</v>
      </c>
      <c r="C4" s="29">
        <v>13840</v>
      </c>
      <c r="D4" s="29">
        <v>14559</v>
      </c>
      <c r="E4" s="29">
        <v>12944</v>
      </c>
      <c r="F4" s="30">
        <v>17056</v>
      </c>
      <c r="G4" s="29">
        <v>9989</v>
      </c>
      <c r="H4" s="29">
        <v>10238</v>
      </c>
      <c r="I4" s="31">
        <v>8864</v>
      </c>
      <c r="J4" s="30">
        <f>SUM(G4:I4)</f>
        <v>29091</v>
      </c>
      <c r="K4" s="30">
        <v>7446</v>
      </c>
      <c r="L4" s="99">
        <v>8802</v>
      </c>
      <c r="M4" s="99">
        <v>7826</v>
      </c>
      <c r="N4" s="30">
        <f>SUM(K4:M4)</f>
        <v>24074</v>
      </c>
      <c r="O4" s="101">
        <v>8625</v>
      </c>
      <c r="P4" s="30">
        <v>8341</v>
      </c>
      <c r="Q4" s="30">
        <v>7795</v>
      </c>
      <c r="R4" s="30">
        <f>SUM(O4:Q4)</f>
        <v>24761</v>
      </c>
      <c r="S4" s="108">
        <f>SUM(F4,J4,N4,R4)</f>
        <v>94982</v>
      </c>
      <c r="T4" s="101">
        <v>8279</v>
      </c>
      <c r="U4" s="30">
        <v>7346</v>
      </c>
      <c r="V4" s="30">
        <v>9200</v>
      </c>
      <c r="W4" s="30">
        <f>SUM(T4:V4)</f>
        <v>24825</v>
      </c>
      <c r="X4" s="101">
        <v>8617</v>
      </c>
      <c r="Y4" s="101">
        <v>9403</v>
      </c>
      <c r="Z4" s="101">
        <v>8520</v>
      </c>
      <c r="AA4" s="30">
        <f>SUM(X4:Z4)</f>
        <v>26540</v>
      </c>
      <c r="AB4" s="101">
        <v>8381</v>
      </c>
      <c r="AC4" s="30">
        <v>8734</v>
      </c>
      <c r="AD4" s="30">
        <v>7146</v>
      </c>
      <c r="AE4" s="30">
        <f>SUM(AB4:AD4)</f>
        <v>24261</v>
      </c>
      <c r="AF4" s="30">
        <v>9420</v>
      </c>
      <c r="AG4" s="30">
        <v>8362</v>
      </c>
      <c r="AH4" s="30">
        <v>7413</v>
      </c>
      <c r="AI4" s="30">
        <f>SUM(AF4:AH4)</f>
        <v>25195</v>
      </c>
      <c r="AJ4" s="108">
        <f>W4+AA4+AE4+AI4</f>
        <v>100821</v>
      </c>
      <c r="AK4" s="101">
        <v>7704</v>
      </c>
      <c r="AL4" s="30">
        <v>7866</v>
      </c>
      <c r="AM4" s="30">
        <v>7752</v>
      </c>
      <c r="AN4" s="30">
        <f>SUM(AK4:AM4)</f>
        <v>23322</v>
      </c>
      <c r="AO4" s="30">
        <v>8213</v>
      </c>
      <c r="AP4" s="30">
        <v>7533</v>
      </c>
      <c r="AQ4" s="30">
        <v>6657</v>
      </c>
      <c r="AR4" s="30">
        <f>SUM(AO4:AQ4)</f>
        <v>22403</v>
      </c>
      <c r="AS4" s="30">
        <v>7707</v>
      </c>
      <c r="AT4" s="30">
        <v>6521</v>
      </c>
      <c r="AU4" s="30">
        <v>6524</v>
      </c>
      <c r="AV4" s="30">
        <f>SUM(AS4:AU4)</f>
        <v>20752</v>
      </c>
      <c r="AW4" s="30">
        <v>7232</v>
      </c>
      <c r="AX4" s="30">
        <v>6300</v>
      </c>
      <c r="AY4" s="30">
        <v>7301</v>
      </c>
      <c r="AZ4" s="30">
        <f>SUM(AW4:AY4)</f>
        <v>20833</v>
      </c>
      <c r="BA4" s="108">
        <f>AN4+AR4+AV4+AZ4</f>
        <v>87310</v>
      </c>
      <c r="BB4" s="30">
        <v>6262</v>
      </c>
      <c r="BC4" s="30">
        <v>7235</v>
      </c>
      <c r="BD4" s="30">
        <v>7535</v>
      </c>
      <c r="BE4" s="30">
        <f>SUM(BB4:BD4)</f>
        <v>21032</v>
      </c>
      <c r="BF4" s="30">
        <v>4928</v>
      </c>
      <c r="BG4" s="30">
        <v>5921</v>
      </c>
      <c r="BH4" s="30">
        <v>6707</v>
      </c>
      <c r="BI4" s="30">
        <f>SUM(BF4:BH4)</f>
        <v>17556</v>
      </c>
      <c r="BJ4" s="30">
        <v>7413</v>
      </c>
      <c r="BK4" s="30">
        <v>7157</v>
      </c>
      <c r="BL4" s="30">
        <v>7353</v>
      </c>
      <c r="BM4" s="30">
        <f>SUM(BJ4:BL4)</f>
        <v>21923</v>
      </c>
      <c r="BN4" s="30">
        <v>8208</v>
      </c>
      <c r="BO4" s="30">
        <v>6610</v>
      </c>
      <c r="BP4" s="30">
        <v>6923</v>
      </c>
      <c r="BQ4" s="30">
        <f>SUM(BN4:BP4)</f>
        <v>21741</v>
      </c>
      <c r="BR4" s="108">
        <f>BE4+BI4+BM4+BQ4</f>
        <v>82252</v>
      </c>
      <c r="BS4" s="30">
        <v>7151</v>
      </c>
      <c r="BT4" s="30">
        <v>6199</v>
      </c>
      <c r="BU4" s="30">
        <v>7588</v>
      </c>
      <c r="BV4" s="30">
        <f>SUM(BS4:BU4)</f>
        <v>20938</v>
      </c>
      <c r="BW4" s="30">
        <v>7499</v>
      </c>
      <c r="BX4" s="30">
        <v>7272</v>
      </c>
      <c r="BY4" s="30">
        <v>7164</v>
      </c>
      <c r="BZ4" s="30">
        <f>SUM(BW4:BY4)</f>
        <v>21935</v>
      </c>
      <c r="CA4" s="30">
        <v>6779</v>
      </c>
      <c r="CB4" s="30">
        <v>7418</v>
      </c>
      <c r="CC4" s="30">
        <v>6549</v>
      </c>
      <c r="CD4" s="30">
        <f>SUM(CA4:CC4)</f>
        <v>20746</v>
      </c>
    </row>
    <row r="5" spans="1:82" ht="43.2" hidden="1" x14ac:dyDescent="0.3">
      <c r="A5" s="36" t="s">
        <v>424</v>
      </c>
      <c r="D5" s="31"/>
      <c r="AB5" s="101"/>
      <c r="BB5" s="30">
        <v>3631</v>
      </c>
      <c r="BC5" s="30">
        <v>4438</v>
      </c>
      <c r="BD5" s="30">
        <v>4666</v>
      </c>
      <c r="BE5" s="30">
        <f>SUM(BB5:BD5)</f>
        <v>12735</v>
      </c>
      <c r="BF5" s="30">
        <v>2988</v>
      </c>
      <c r="BG5" s="30">
        <v>3244</v>
      </c>
      <c r="BH5" s="30">
        <v>3621</v>
      </c>
      <c r="BI5" s="30">
        <f>SUM(BF5:BH5)</f>
        <v>9853</v>
      </c>
      <c r="BJ5" s="30">
        <v>4788</v>
      </c>
      <c r="BK5" s="30">
        <v>5378</v>
      </c>
      <c r="BL5" s="30">
        <v>4906</v>
      </c>
      <c r="BM5" s="30">
        <f>SUM(BJ5:BL5)</f>
        <v>15072</v>
      </c>
      <c r="BN5" s="159">
        <v>4931</v>
      </c>
      <c r="BO5" s="159">
        <v>4441</v>
      </c>
      <c r="BP5" s="159">
        <v>4660</v>
      </c>
      <c r="BQ5" s="159">
        <f>SUM(BN5:BP5)</f>
        <v>14032</v>
      </c>
      <c r="BR5" s="108">
        <f>BE5+BI5+BM5+BQ5</f>
        <v>51692</v>
      </c>
      <c r="BS5" s="30">
        <v>4604</v>
      </c>
      <c r="BT5" s="30">
        <v>4212</v>
      </c>
      <c r="BU5" s="30">
        <v>5052</v>
      </c>
      <c r="BV5" s="30">
        <f>SUM(BS5:BU5)</f>
        <v>13868</v>
      </c>
      <c r="BW5" s="30">
        <v>5006</v>
      </c>
      <c r="BX5" s="30">
        <v>5341</v>
      </c>
      <c r="BY5" s="30">
        <v>5207</v>
      </c>
      <c r="BZ5" s="30">
        <f>SUM(BW5:BY5)</f>
        <v>15554</v>
      </c>
      <c r="CA5" s="30">
        <v>4788</v>
      </c>
      <c r="CB5" s="30">
        <v>5378</v>
      </c>
      <c r="CC5" s="30">
        <v>4906</v>
      </c>
      <c r="CD5" s="30">
        <f>SUM(CA5:CC5)</f>
        <v>15072</v>
      </c>
    </row>
    <row r="6" spans="1:82" x14ac:dyDescent="0.3">
      <c r="A6" s="36"/>
      <c r="C6" s="31"/>
      <c r="J6" s="30"/>
      <c r="K6" s="92"/>
      <c r="N6" s="30"/>
      <c r="O6" s="92"/>
      <c r="S6" s="92"/>
    </row>
    <row r="7" spans="1:82" ht="28.8" x14ac:dyDescent="0.3">
      <c r="A7" s="79" t="str">
        <f>HLOOKUP(Chosen,Hide!$A$287:$C$291, 5, FALSE)</f>
        <v xml:space="preserve">Uwaga: Od kwietnia 2017 Spółka publikuje dane miesięczne </v>
      </c>
      <c r="J7" s="93"/>
      <c r="K7" s="94"/>
      <c r="L7" s="94"/>
      <c r="M7" s="95"/>
      <c r="N7" s="31"/>
      <c r="O7" s="96"/>
      <c r="P7" s="97"/>
      <c r="Q7" s="97"/>
      <c r="R7" s="31"/>
      <c r="X7" s="110"/>
      <c r="Y7" s="110"/>
      <c r="Z7" s="110"/>
      <c r="AA7" s="110"/>
    </row>
    <row r="8" spans="1:82" x14ac:dyDescent="0.3">
      <c r="J8" s="98"/>
      <c r="K8" s="99"/>
      <c r="L8" s="99"/>
      <c r="M8" s="100"/>
      <c r="N8" s="98"/>
      <c r="O8" s="101"/>
      <c r="P8" s="102"/>
      <c r="Q8" s="102"/>
      <c r="R8" s="103"/>
      <c r="X8" s="101"/>
      <c r="Y8" s="101"/>
      <c r="Z8" s="101"/>
      <c r="AA8" s="101"/>
    </row>
    <row r="9" spans="1:82" x14ac:dyDescent="0.3">
      <c r="J9" s="104"/>
      <c r="K9" s="105"/>
      <c r="L9" s="106"/>
      <c r="M9" s="106"/>
      <c r="N9" s="104"/>
      <c r="O9" s="107"/>
      <c r="P9" s="107"/>
      <c r="Q9" s="107"/>
      <c r="R9" s="107"/>
    </row>
  </sheetData>
  <sheetProtection formatCells="0" formatColumns="0" formatRows="0" insertColumns="0" insertRows="0" insertHyperlinks="0" deleteColumns="0" deleteRows="0" sort="0" autoFilter="0" pivotTables="0"/>
  <phoneticPr fontId="34" type="noConversion"/>
  <hyperlinks>
    <hyperlink ref="A1" location="HOME!A1" display="HOME!A1" xr:uid="{00000000-0004-0000-0700-000000000000}"/>
  </hyperlinks>
  <pageMargins left="0.7" right="0.7" top="0.75" bottom="0.75" header="0.3" footer="0.3"/>
  <pageSetup paperSize="9" orientation="portrait" r:id="rId1"/>
  <ignoredErrors>
    <ignoredError sqref="G3:I3 K3:M3 O3:Q3 T3:V3 AF3:AH3 X3:AD3 AK3:AN3 AO3:AU3 AW3:AY3 BB3:BD3 BF3:BH3 BJ3:BL3 BN3:BP3 BS3:BU3 BW3 BX3:BY3 CA3:CD3" twoDigitTextYear="1"/>
    <ignoredError sqref="J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C291"/>
  <sheetViews>
    <sheetView topLeftCell="A189" workbookViewId="0">
      <selection activeCell="B203" sqref="B203"/>
    </sheetView>
  </sheetViews>
  <sheetFormatPr defaultColWidth="10.5546875" defaultRowHeight="14.4" x14ac:dyDescent="0.3"/>
  <cols>
    <col min="1" max="1" width="10.44140625" customWidth="1"/>
    <col min="2" max="2" width="75.44140625" customWidth="1"/>
    <col min="3" max="3" width="73.5546875" customWidth="1"/>
  </cols>
  <sheetData>
    <row r="1" spans="1:3" x14ac:dyDescent="0.3">
      <c r="A1" s="167" t="s">
        <v>271</v>
      </c>
      <c r="B1" s="167"/>
    </row>
    <row r="3" spans="1:3" x14ac:dyDescent="0.3">
      <c r="A3" s="1" t="s">
        <v>272</v>
      </c>
      <c r="C3" s="67"/>
    </row>
    <row r="4" spans="1:3" x14ac:dyDescent="0.3">
      <c r="A4" t="s">
        <v>152</v>
      </c>
    </row>
    <row r="5" spans="1:3" x14ac:dyDescent="0.3">
      <c r="A5" t="s">
        <v>297</v>
      </c>
    </row>
    <row r="8" spans="1:3" x14ac:dyDescent="0.3">
      <c r="A8" s="1" t="s">
        <v>273</v>
      </c>
    </row>
    <row r="9" spans="1:3" x14ac:dyDescent="0.3">
      <c r="A9">
        <v>1</v>
      </c>
      <c r="B9" t="s">
        <v>152</v>
      </c>
      <c r="C9" t="s">
        <v>297</v>
      </c>
    </row>
    <row r="10" spans="1:3" x14ac:dyDescent="0.3">
      <c r="A10">
        <v>2</v>
      </c>
      <c r="B10" t="s">
        <v>154</v>
      </c>
      <c r="C10" t="s">
        <v>153</v>
      </c>
    </row>
    <row r="11" spans="1:3" x14ac:dyDescent="0.3">
      <c r="A11">
        <v>3</v>
      </c>
      <c r="B11" s="1" t="s">
        <v>299</v>
      </c>
      <c r="C11" s="1" t="s">
        <v>293</v>
      </c>
    </row>
    <row r="12" spans="1:3" x14ac:dyDescent="0.3">
      <c r="A12">
        <v>4</v>
      </c>
      <c r="B12" t="s">
        <v>290</v>
      </c>
      <c r="C12" t="s">
        <v>162</v>
      </c>
    </row>
    <row r="13" spans="1:3" x14ac:dyDescent="0.3">
      <c r="A13">
        <v>5</v>
      </c>
      <c r="B13" t="s">
        <v>169</v>
      </c>
      <c r="C13" t="s">
        <v>163</v>
      </c>
    </row>
    <row r="14" spans="1:3" x14ac:dyDescent="0.3">
      <c r="A14">
        <v>6</v>
      </c>
      <c r="B14" t="s">
        <v>170</v>
      </c>
      <c r="C14" t="s">
        <v>164</v>
      </c>
    </row>
    <row r="15" spans="1:3" x14ac:dyDescent="0.3">
      <c r="A15">
        <v>7</v>
      </c>
    </row>
    <row r="16" spans="1:3" x14ac:dyDescent="0.3">
      <c r="A16">
        <v>8</v>
      </c>
      <c r="B16" t="s">
        <v>291</v>
      </c>
      <c r="C16" t="s">
        <v>165</v>
      </c>
    </row>
    <row r="17" spans="1:3" x14ac:dyDescent="0.3">
      <c r="A17">
        <v>9</v>
      </c>
      <c r="B17" t="s">
        <v>288</v>
      </c>
      <c r="C17" t="s">
        <v>166</v>
      </c>
    </row>
    <row r="18" spans="1:3" x14ac:dyDescent="0.3">
      <c r="A18">
        <v>10</v>
      </c>
      <c r="B18" t="s">
        <v>289</v>
      </c>
      <c r="C18" t="s">
        <v>167</v>
      </c>
    </row>
    <row r="19" spans="1:3" x14ac:dyDescent="0.3">
      <c r="A19">
        <v>11</v>
      </c>
      <c r="B19" t="s">
        <v>0</v>
      </c>
    </row>
    <row r="20" spans="1:3" x14ac:dyDescent="0.3">
      <c r="A20">
        <v>12</v>
      </c>
      <c r="B20" t="s">
        <v>161</v>
      </c>
      <c r="C20" t="s">
        <v>168</v>
      </c>
    </row>
    <row r="21" spans="1:3" x14ac:dyDescent="0.3">
      <c r="A21">
        <v>13</v>
      </c>
    </row>
    <row r="22" spans="1:3" x14ac:dyDescent="0.3">
      <c r="A22">
        <v>14</v>
      </c>
      <c r="B22" t="s">
        <v>2</v>
      </c>
      <c r="C22" t="s">
        <v>133</v>
      </c>
    </row>
    <row r="24" spans="1:3" s="78" customFormat="1" x14ac:dyDescent="0.3">
      <c r="A24" s="77" t="s">
        <v>292</v>
      </c>
      <c r="B24" s="77" t="s">
        <v>290</v>
      </c>
      <c r="C24" s="77" t="s">
        <v>162</v>
      </c>
    </row>
    <row r="25" spans="1:3" x14ac:dyDescent="0.3">
      <c r="A25">
        <v>1</v>
      </c>
      <c r="B25" t="s">
        <v>152</v>
      </c>
      <c r="C25" t="s">
        <v>297</v>
      </c>
    </row>
    <row r="26" spans="1:3" x14ac:dyDescent="0.3">
      <c r="A26">
        <v>2</v>
      </c>
      <c r="B26" s="61" t="s">
        <v>198</v>
      </c>
      <c r="C26" s="36" t="s">
        <v>16</v>
      </c>
    </row>
    <row r="27" spans="1:3" x14ac:dyDescent="0.3">
      <c r="A27">
        <v>3</v>
      </c>
      <c r="B27" s="62" t="s">
        <v>215</v>
      </c>
      <c r="C27" s="37" t="s">
        <v>17</v>
      </c>
    </row>
    <row r="28" spans="1:3" x14ac:dyDescent="0.3">
      <c r="A28">
        <v>4</v>
      </c>
      <c r="B28" s="62" t="s">
        <v>199</v>
      </c>
      <c r="C28" s="37" t="s">
        <v>18</v>
      </c>
    </row>
    <row r="29" spans="1:3" x14ac:dyDescent="0.3">
      <c r="A29">
        <v>5</v>
      </c>
      <c r="B29" s="62" t="s">
        <v>200</v>
      </c>
      <c r="C29" s="37" t="s">
        <v>19</v>
      </c>
    </row>
    <row r="30" spans="1:3" x14ac:dyDescent="0.3">
      <c r="A30">
        <v>6</v>
      </c>
      <c r="B30" s="62" t="s">
        <v>216</v>
      </c>
      <c r="C30" s="37" t="s">
        <v>20</v>
      </c>
    </row>
    <row r="31" spans="1:3" x14ac:dyDescent="0.3">
      <c r="A31">
        <v>7</v>
      </c>
      <c r="B31" s="63" t="s">
        <v>221</v>
      </c>
      <c r="C31" s="38" t="s">
        <v>21</v>
      </c>
    </row>
    <row r="32" spans="1:3" x14ac:dyDescent="0.3">
      <c r="A32">
        <v>8</v>
      </c>
      <c r="B32" s="64" t="s">
        <v>222</v>
      </c>
      <c r="C32" s="39" t="s">
        <v>22</v>
      </c>
    </row>
    <row r="33" spans="1:3" x14ac:dyDescent="0.3">
      <c r="A33">
        <v>9</v>
      </c>
      <c r="B33" s="61" t="s">
        <v>201</v>
      </c>
      <c r="C33" s="36" t="s">
        <v>23</v>
      </c>
    </row>
    <row r="34" spans="1:3" x14ac:dyDescent="0.3">
      <c r="A34">
        <v>10</v>
      </c>
      <c r="B34" s="65" t="s">
        <v>217</v>
      </c>
      <c r="C34" s="40" t="s">
        <v>24</v>
      </c>
    </row>
    <row r="35" spans="1:3" x14ac:dyDescent="0.3">
      <c r="A35">
        <v>11</v>
      </c>
      <c r="B35" s="65" t="s">
        <v>218</v>
      </c>
      <c r="C35" s="40" t="s">
        <v>25</v>
      </c>
    </row>
    <row r="36" spans="1:3" x14ac:dyDescent="0.3">
      <c r="A36">
        <v>12</v>
      </c>
      <c r="B36" s="64" t="s">
        <v>202</v>
      </c>
      <c r="C36" s="39" t="s">
        <v>26</v>
      </c>
    </row>
    <row r="37" spans="1:3" x14ac:dyDescent="0.3">
      <c r="A37">
        <v>13</v>
      </c>
      <c r="B37" s="65" t="s">
        <v>203</v>
      </c>
      <c r="C37" s="40" t="s">
        <v>27</v>
      </c>
    </row>
    <row r="38" spans="1:3" x14ac:dyDescent="0.3">
      <c r="A38">
        <v>14</v>
      </c>
      <c r="B38" s="65" t="s">
        <v>220</v>
      </c>
      <c r="C38" s="40" t="s">
        <v>28</v>
      </c>
    </row>
    <row r="39" spans="1:3" x14ac:dyDescent="0.3">
      <c r="A39">
        <v>15</v>
      </c>
      <c r="B39" s="61" t="s">
        <v>204</v>
      </c>
      <c r="C39" s="36" t="s">
        <v>304</v>
      </c>
    </row>
    <row r="40" spans="1:3" x14ac:dyDescent="0.3">
      <c r="A40">
        <v>16</v>
      </c>
      <c r="B40" s="61" t="s">
        <v>205</v>
      </c>
      <c r="C40" s="36" t="s">
        <v>29</v>
      </c>
    </row>
    <row r="41" spans="1:3" x14ac:dyDescent="0.3">
      <c r="A41">
        <v>17</v>
      </c>
      <c r="B41" s="62" t="s">
        <v>206</v>
      </c>
      <c r="C41" s="37" t="s">
        <v>30</v>
      </c>
    </row>
    <row r="42" spans="1:3" x14ac:dyDescent="0.3">
      <c r="A42">
        <v>18</v>
      </c>
      <c r="B42" s="61" t="s">
        <v>207</v>
      </c>
      <c r="C42" s="36" t="s">
        <v>31</v>
      </c>
    </row>
    <row r="43" spans="1:3" ht="28.8" x14ac:dyDescent="0.3">
      <c r="A43">
        <v>19</v>
      </c>
      <c r="B43" s="62" t="s">
        <v>208</v>
      </c>
      <c r="C43" s="37" t="s">
        <v>305</v>
      </c>
    </row>
    <row r="44" spans="1:3" x14ac:dyDescent="0.3">
      <c r="A44">
        <v>20</v>
      </c>
      <c r="B44" s="62" t="s">
        <v>209</v>
      </c>
      <c r="C44" s="37" t="s">
        <v>34</v>
      </c>
    </row>
    <row r="45" spans="1:3" x14ac:dyDescent="0.3">
      <c r="B45" s="64"/>
      <c r="C45" s="39"/>
    </row>
    <row r="46" spans="1:3" ht="28.8" x14ac:dyDescent="0.3">
      <c r="A46">
        <v>22</v>
      </c>
      <c r="B46" s="64" t="s">
        <v>210</v>
      </c>
      <c r="C46" s="39" t="s">
        <v>306</v>
      </c>
    </row>
    <row r="47" spans="1:3" x14ac:dyDescent="0.3">
      <c r="A47">
        <v>23</v>
      </c>
      <c r="B47" s="66" t="s">
        <v>224</v>
      </c>
      <c r="C47" s="41" t="s">
        <v>35</v>
      </c>
    </row>
    <row r="48" spans="1:3" x14ac:dyDescent="0.3">
      <c r="A48">
        <v>24</v>
      </c>
      <c r="B48" s="66" t="s">
        <v>223</v>
      </c>
      <c r="C48" s="41" t="s">
        <v>36</v>
      </c>
    </row>
    <row r="49" spans="1:3" x14ac:dyDescent="0.3">
      <c r="A49">
        <v>25</v>
      </c>
      <c r="B49" s="66"/>
      <c r="C49" s="41"/>
    </row>
    <row r="50" spans="1:3" x14ac:dyDescent="0.3">
      <c r="A50">
        <v>26</v>
      </c>
      <c r="B50" s="36" t="s">
        <v>207</v>
      </c>
      <c r="C50" s="36" t="s">
        <v>31</v>
      </c>
    </row>
    <row r="51" spans="1:3" x14ac:dyDescent="0.3">
      <c r="A51">
        <v>27</v>
      </c>
      <c r="B51" s="42" t="s">
        <v>225</v>
      </c>
      <c r="C51" s="42" t="s">
        <v>32</v>
      </c>
    </row>
    <row r="52" spans="1:3" x14ac:dyDescent="0.3">
      <c r="A52">
        <v>28</v>
      </c>
      <c r="B52" s="37" t="s">
        <v>211</v>
      </c>
      <c r="C52" s="37" t="s">
        <v>37</v>
      </c>
    </row>
    <row r="53" spans="1:3" ht="43.2" x14ac:dyDescent="0.3">
      <c r="A53">
        <v>29</v>
      </c>
      <c r="B53" s="37" t="s">
        <v>212</v>
      </c>
      <c r="C53" s="37" t="s">
        <v>307</v>
      </c>
    </row>
    <row r="54" spans="1:3" x14ac:dyDescent="0.3">
      <c r="A54">
        <v>30</v>
      </c>
      <c r="B54" s="37" t="s">
        <v>226</v>
      </c>
      <c r="C54" s="37" t="s">
        <v>38</v>
      </c>
    </row>
    <row r="55" spans="1:3" x14ac:dyDescent="0.3">
      <c r="A55">
        <v>31</v>
      </c>
      <c r="B55" s="36" t="s">
        <v>225</v>
      </c>
      <c r="C55" s="36" t="s">
        <v>32</v>
      </c>
    </row>
    <row r="56" spans="1:3" x14ac:dyDescent="0.3">
      <c r="A56">
        <v>32</v>
      </c>
      <c r="B56" s="37" t="s">
        <v>353</v>
      </c>
      <c r="C56" s="37" t="s">
        <v>348</v>
      </c>
    </row>
    <row r="57" spans="1:3" x14ac:dyDescent="0.3">
      <c r="A57">
        <v>33</v>
      </c>
      <c r="B57" s="37" t="s">
        <v>354</v>
      </c>
      <c r="C57" s="37" t="s">
        <v>349</v>
      </c>
    </row>
    <row r="58" spans="1:3" x14ac:dyDescent="0.3">
      <c r="A58">
        <v>34</v>
      </c>
      <c r="B58" s="40"/>
      <c r="C58" s="40"/>
    </row>
    <row r="59" spans="1:3" x14ac:dyDescent="0.3">
      <c r="A59">
        <v>35</v>
      </c>
      <c r="B59" s="42" t="s">
        <v>227</v>
      </c>
      <c r="C59" s="42" t="s">
        <v>39</v>
      </c>
    </row>
    <row r="60" spans="1:3" ht="28.8" x14ac:dyDescent="0.3">
      <c r="A60">
        <v>36</v>
      </c>
      <c r="B60" s="37" t="s">
        <v>213</v>
      </c>
      <c r="C60" s="37" t="s">
        <v>309</v>
      </c>
    </row>
    <row r="61" spans="1:3" x14ac:dyDescent="0.3">
      <c r="A61">
        <v>37</v>
      </c>
      <c r="B61" s="37" t="s">
        <v>214</v>
      </c>
      <c r="C61" s="37" t="s">
        <v>308</v>
      </c>
    </row>
    <row r="62" spans="1:3" x14ac:dyDescent="0.3">
      <c r="B62" s="66"/>
      <c r="C62" s="41"/>
    </row>
    <row r="63" spans="1:3" s="78" customFormat="1" x14ac:dyDescent="0.3">
      <c r="A63" s="77" t="s">
        <v>274</v>
      </c>
      <c r="B63" s="77" t="s">
        <v>169</v>
      </c>
      <c r="C63" s="77" t="s">
        <v>163</v>
      </c>
    </row>
    <row r="64" spans="1:3" x14ac:dyDescent="0.3">
      <c r="A64">
        <v>1</v>
      </c>
      <c r="B64" t="s">
        <v>152</v>
      </c>
      <c r="C64" t="s">
        <v>297</v>
      </c>
    </row>
    <row r="65" spans="1:3" x14ac:dyDescent="0.3">
      <c r="A65">
        <v>2</v>
      </c>
      <c r="B65" s="68" t="s">
        <v>180</v>
      </c>
      <c r="C65" s="68" t="s">
        <v>40</v>
      </c>
    </row>
    <row r="66" spans="1:3" x14ac:dyDescent="0.3">
      <c r="A66">
        <v>3</v>
      </c>
      <c r="B66" s="68" t="s">
        <v>181</v>
      </c>
      <c r="C66" s="68" t="s">
        <v>41</v>
      </c>
    </row>
    <row r="67" spans="1:3" x14ac:dyDescent="0.3">
      <c r="A67">
        <v>4</v>
      </c>
      <c r="B67" s="68" t="s">
        <v>182</v>
      </c>
      <c r="C67" s="68" t="s">
        <v>42</v>
      </c>
    </row>
    <row r="68" spans="1:3" x14ac:dyDescent="0.3">
      <c r="A68">
        <v>5</v>
      </c>
      <c r="B68" s="68" t="s">
        <v>176</v>
      </c>
      <c r="C68" s="68" t="s">
        <v>43</v>
      </c>
    </row>
    <row r="69" spans="1:3" x14ac:dyDescent="0.3">
      <c r="A69">
        <v>6</v>
      </c>
      <c r="B69" s="63" t="s">
        <v>183</v>
      </c>
      <c r="C69" s="63" t="s">
        <v>44</v>
      </c>
    </row>
    <row r="70" spans="1:3" x14ac:dyDescent="0.3">
      <c r="A70">
        <v>7</v>
      </c>
      <c r="B70" s="69" t="s">
        <v>171</v>
      </c>
      <c r="C70" s="69" t="s">
        <v>45</v>
      </c>
    </row>
    <row r="71" spans="1:3" x14ac:dyDescent="0.3">
      <c r="A71">
        <v>8</v>
      </c>
      <c r="B71" s="68" t="s">
        <v>177</v>
      </c>
      <c r="C71" s="68" t="s">
        <v>46</v>
      </c>
    </row>
    <row r="72" spans="1:3" x14ac:dyDescent="0.3">
      <c r="A72">
        <v>9</v>
      </c>
      <c r="B72" s="68" t="s">
        <v>178</v>
      </c>
      <c r="C72" s="68" t="s">
        <v>47</v>
      </c>
    </row>
    <row r="73" spans="1:3" x14ac:dyDescent="0.3">
      <c r="A73">
        <v>10</v>
      </c>
      <c r="B73" s="68" t="s">
        <v>176</v>
      </c>
      <c r="C73" s="68" t="s">
        <v>43</v>
      </c>
    </row>
    <row r="74" spans="1:3" x14ac:dyDescent="0.3">
      <c r="A74">
        <v>11</v>
      </c>
      <c r="B74" s="68" t="s">
        <v>179</v>
      </c>
      <c r="C74" s="68" t="s">
        <v>48</v>
      </c>
    </row>
    <row r="75" spans="1:3" x14ac:dyDescent="0.3">
      <c r="A75">
        <v>12</v>
      </c>
      <c r="B75" s="69" t="s">
        <v>172</v>
      </c>
      <c r="C75" s="69" t="s">
        <v>49</v>
      </c>
    </row>
    <row r="76" spans="1:3" x14ac:dyDescent="0.3">
      <c r="A76">
        <v>13</v>
      </c>
      <c r="B76" s="70" t="s">
        <v>175</v>
      </c>
      <c r="C76" s="70" t="s">
        <v>50</v>
      </c>
    </row>
    <row r="77" spans="1:3" x14ac:dyDescent="0.3">
      <c r="A77">
        <v>14</v>
      </c>
      <c r="B77" s="71" t="s">
        <v>184</v>
      </c>
      <c r="C77" s="71" t="s">
        <v>51</v>
      </c>
    </row>
    <row r="78" spans="1:3" x14ac:dyDescent="0.3">
      <c r="A78">
        <v>15</v>
      </c>
      <c r="B78" s="71" t="s">
        <v>185</v>
      </c>
      <c r="C78" s="71" t="s">
        <v>52</v>
      </c>
    </row>
    <row r="79" spans="1:3" x14ac:dyDescent="0.3">
      <c r="A79">
        <v>16</v>
      </c>
      <c r="B79" s="72" t="s">
        <v>286</v>
      </c>
      <c r="C79" s="71" t="s">
        <v>53</v>
      </c>
    </row>
    <row r="80" spans="1:3" x14ac:dyDescent="0.3">
      <c r="A80">
        <v>17</v>
      </c>
      <c r="B80" s="71" t="s">
        <v>192</v>
      </c>
      <c r="C80" s="71" t="s">
        <v>54</v>
      </c>
    </row>
    <row r="81" spans="1:3" x14ac:dyDescent="0.3">
      <c r="A81">
        <v>18</v>
      </c>
      <c r="B81" s="71" t="s">
        <v>197</v>
      </c>
      <c r="C81" s="71" t="s">
        <v>55</v>
      </c>
    </row>
    <row r="82" spans="1:3" x14ac:dyDescent="0.3">
      <c r="A82">
        <v>19</v>
      </c>
      <c r="B82" s="73" t="s">
        <v>193</v>
      </c>
      <c r="C82" s="73" t="s">
        <v>310</v>
      </c>
    </row>
    <row r="83" spans="1:3" x14ac:dyDescent="0.3">
      <c r="A83">
        <v>20</v>
      </c>
      <c r="B83" s="74" t="s">
        <v>194</v>
      </c>
      <c r="C83" s="74" t="s">
        <v>56</v>
      </c>
    </row>
    <row r="84" spans="1:3" x14ac:dyDescent="0.3">
      <c r="A84">
        <v>21</v>
      </c>
      <c r="B84" s="71" t="s">
        <v>195</v>
      </c>
      <c r="C84" s="71" t="s">
        <v>57</v>
      </c>
    </row>
    <row r="85" spans="1:3" x14ac:dyDescent="0.3">
      <c r="A85">
        <v>22</v>
      </c>
      <c r="B85" s="71" t="s">
        <v>196</v>
      </c>
      <c r="C85" s="71" t="s">
        <v>58</v>
      </c>
    </row>
    <row r="86" spans="1:3" x14ac:dyDescent="0.3">
      <c r="A86">
        <v>23</v>
      </c>
      <c r="B86" s="71" t="s">
        <v>188</v>
      </c>
      <c r="C86" s="71" t="s">
        <v>62</v>
      </c>
    </row>
    <row r="87" spans="1:3" x14ac:dyDescent="0.3">
      <c r="A87">
        <v>24</v>
      </c>
      <c r="B87" s="71" t="s">
        <v>186</v>
      </c>
      <c r="C87" s="71" t="s">
        <v>59</v>
      </c>
    </row>
    <row r="88" spans="1:3" x14ac:dyDescent="0.3">
      <c r="A88">
        <v>25</v>
      </c>
      <c r="B88" s="71" t="s">
        <v>187</v>
      </c>
      <c r="C88" s="71" t="s">
        <v>60</v>
      </c>
    </row>
    <row r="89" spans="1:3" x14ac:dyDescent="0.3">
      <c r="A89">
        <v>26</v>
      </c>
      <c r="B89" s="74" t="s">
        <v>173</v>
      </c>
      <c r="C89" s="74" t="s">
        <v>61</v>
      </c>
    </row>
    <row r="90" spans="1:3" x14ac:dyDescent="0.3">
      <c r="A90">
        <v>27</v>
      </c>
      <c r="B90" s="71" t="s">
        <v>188</v>
      </c>
      <c r="C90" s="71" t="s">
        <v>62</v>
      </c>
    </row>
    <row r="91" spans="1:3" x14ac:dyDescent="0.3">
      <c r="A91">
        <v>28</v>
      </c>
      <c r="B91" s="71" t="s">
        <v>186</v>
      </c>
      <c r="C91" s="71" t="s">
        <v>59</v>
      </c>
    </row>
    <row r="92" spans="1:3" x14ac:dyDescent="0.3">
      <c r="A92">
        <v>29</v>
      </c>
      <c r="B92" s="71" t="s">
        <v>189</v>
      </c>
      <c r="C92" s="71" t="s">
        <v>63</v>
      </c>
    </row>
    <row r="93" spans="1:3" x14ac:dyDescent="0.3">
      <c r="A93">
        <v>30</v>
      </c>
      <c r="B93" s="71" t="s">
        <v>190</v>
      </c>
      <c r="C93" s="71" t="s">
        <v>64</v>
      </c>
    </row>
    <row r="94" spans="1:3" x14ac:dyDescent="0.3">
      <c r="A94">
        <v>31</v>
      </c>
      <c r="B94" s="71" t="s">
        <v>187</v>
      </c>
      <c r="C94" s="71" t="s">
        <v>60</v>
      </c>
    </row>
    <row r="95" spans="1:3" x14ac:dyDescent="0.3">
      <c r="A95">
        <v>32</v>
      </c>
      <c r="B95" s="74" t="s">
        <v>191</v>
      </c>
      <c r="C95" s="74" t="s">
        <v>65</v>
      </c>
    </row>
    <row r="96" spans="1:3" x14ac:dyDescent="0.3">
      <c r="A96">
        <v>33</v>
      </c>
      <c r="B96" s="74" t="s">
        <v>174</v>
      </c>
      <c r="C96" s="74" t="s">
        <v>66</v>
      </c>
    </row>
    <row r="97" spans="1:3" x14ac:dyDescent="0.3">
      <c r="A97">
        <v>34</v>
      </c>
      <c r="B97" s="75" t="s">
        <v>279</v>
      </c>
      <c r="C97" s="75" t="s">
        <v>67</v>
      </c>
    </row>
    <row r="98" spans="1:3" x14ac:dyDescent="0.3">
      <c r="A98">
        <v>35</v>
      </c>
      <c r="B98" s="71" t="s">
        <v>312</v>
      </c>
      <c r="C98" s="71" t="s">
        <v>300</v>
      </c>
    </row>
    <row r="99" spans="1:3" x14ac:dyDescent="0.3">
      <c r="A99">
        <v>36</v>
      </c>
      <c r="B99" s="89" t="s">
        <v>317</v>
      </c>
      <c r="C99" t="s">
        <v>318</v>
      </c>
    </row>
    <row r="100" spans="1:3" s="78" customFormat="1" x14ac:dyDescent="0.3">
      <c r="A100" s="77" t="s">
        <v>170</v>
      </c>
      <c r="B100" s="77" t="s">
        <v>170</v>
      </c>
      <c r="C100" s="77" t="s">
        <v>164</v>
      </c>
    </row>
    <row r="101" spans="1:3" x14ac:dyDescent="0.3">
      <c r="A101">
        <v>1</v>
      </c>
      <c r="B101" t="s">
        <v>152</v>
      </c>
      <c r="C101" t="s">
        <v>297</v>
      </c>
    </row>
    <row r="102" spans="1:3" x14ac:dyDescent="0.3">
      <c r="A102">
        <v>2</v>
      </c>
      <c r="B102" s="49" t="s">
        <v>228</v>
      </c>
      <c r="C102" s="49" t="s">
        <v>68</v>
      </c>
    </row>
    <row r="103" spans="1:3" x14ac:dyDescent="0.3">
      <c r="A103">
        <v>3</v>
      </c>
      <c r="B103" s="50" t="s">
        <v>229</v>
      </c>
      <c r="C103" s="50" t="s">
        <v>106</v>
      </c>
    </row>
    <row r="104" spans="1:3" x14ac:dyDescent="0.3">
      <c r="A104">
        <v>4</v>
      </c>
      <c r="B104" s="51" t="s">
        <v>236</v>
      </c>
      <c r="C104" s="51" t="s">
        <v>69</v>
      </c>
    </row>
    <row r="105" spans="1:3" x14ac:dyDescent="0.3">
      <c r="A105">
        <v>5</v>
      </c>
      <c r="B105" s="51" t="s">
        <v>237</v>
      </c>
      <c r="C105" s="51" t="s">
        <v>70</v>
      </c>
    </row>
    <row r="106" spans="1:3" x14ac:dyDescent="0.3">
      <c r="A106">
        <v>6</v>
      </c>
      <c r="B106" s="51" t="s">
        <v>206</v>
      </c>
      <c r="C106" s="51" t="s">
        <v>30</v>
      </c>
    </row>
    <row r="107" spans="1:3" x14ac:dyDescent="0.3">
      <c r="A107">
        <v>7</v>
      </c>
      <c r="B107" s="51" t="s">
        <v>231</v>
      </c>
      <c r="C107" s="51" t="s">
        <v>71</v>
      </c>
    </row>
    <row r="108" spans="1:3" x14ac:dyDescent="0.3">
      <c r="A108">
        <v>8</v>
      </c>
      <c r="B108" s="51" t="s">
        <v>281</v>
      </c>
      <c r="C108" s="51" t="s">
        <v>72</v>
      </c>
    </row>
    <row r="109" spans="1:3" x14ac:dyDescent="0.3">
      <c r="A109">
        <v>9</v>
      </c>
      <c r="B109" s="51" t="s">
        <v>232</v>
      </c>
      <c r="C109" s="51" t="s">
        <v>73</v>
      </c>
    </row>
    <row r="110" spans="1:3" x14ac:dyDescent="0.3">
      <c r="A110">
        <v>10</v>
      </c>
      <c r="B110" s="51" t="s">
        <v>238</v>
      </c>
      <c r="C110" s="51" t="s">
        <v>74</v>
      </c>
    </row>
    <row r="111" spans="1:3" x14ac:dyDescent="0.3">
      <c r="A111">
        <v>11</v>
      </c>
      <c r="B111" s="51" t="s">
        <v>239</v>
      </c>
      <c r="C111" s="51" t="s">
        <v>75</v>
      </c>
    </row>
    <row r="112" spans="1:3" x14ac:dyDescent="0.3">
      <c r="A112">
        <v>12</v>
      </c>
      <c r="B112" s="51" t="s">
        <v>240</v>
      </c>
      <c r="C112" s="51" t="s">
        <v>76</v>
      </c>
    </row>
    <row r="113" spans="1:3" x14ac:dyDescent="0.3">
      <c r="A113">
        <v>13</v>
      </c>
      <c r="B113" s="51" t="s">
        <v>230</v>
      </c>
      <c r="C113" s="51" t="s">
        <v>77</v>
      </c>
    </row>
    <row r="114" spans="1:3" x14ac:dyDescent="0.3">
      <c r="A114">
        <v>14</v>
      </c>
      <c r="B114" s="52" t="s">
        <v>241</v>
      </c>
      <c r="C114" s="52" t="s">
        <v>78</v>
      </c>
    </row>
    <row r="115" spans="1:3" x14ac:dyDescent="0.3">
      <c r="A115">
        <v>15</v>
      </c>
      <c r="B115" s="52" t="s">
        <v>242</v>
      </c>
      <c r="C115" s="52" t="s">
        <v>79</v>
      </c>
    </row>
    <row r="116" spans="1:3" x14ac:dyDescent="0.3">
      <c r="A116">
        <v>16</v>
      </c>
      <c r="B116" s="52" t="s">
        <v>247</v>
      </c>
      <c r="C116" s="52" t="s">
        <v>127</v>
      </c>
    </row>
    <row r="117" spans="1:3" x14ac:dyDescent="0.3">
      <c r="A117">
        <v>17</v>
      </c>
      <c r="B117" s="51" t="s">
        <v>243</v>
      </c>
      <c r="C117" s="51" t="s">
        <v>126</v>
      </c>
    </row>
    <row r="118" spans="1:3" x14ac:dyDescent="0.3">
      <c r="A118">
        <v>18</v>
      </c>
      <c r="B118" s="51" t="s">
        <v>244</v>
      </c>
      <c r="C118" s="51" t="s">
        <v>80</v>
      </c>
    </row>
    <row r="119" spans="1:3" x14ac:dyDescent="0.3">
      <c r="A119">
        <v>19</v>
      </c>
      <c r="B119" s="51" t="s">
        <v>248</v>
      </c>
      <c r="C119" s="51" t="s">
        <v>55</v>
      </c>
    </row>
    <row r="120" spans="1:3" x14ac:dyDescent="0.3">
      <c r="A120">
        <v>20</v>
      </c>
      <c r="B120" s="52" t="s">
        <v>245</v>
      </c>
      <c r="C120" s="52" t="s">
        <v>81</v>
      </c>
    </row>
    <row r="121" spans="1:3" x14ac:dyDescent="0.3">
      <c r="A121">
        <v>21</v>
      </c>
      <c r="B121" s="51" t="s">
        <v>246</v>
      </c>
      <c r="C121" s="51" t="s">
        <v>82</v>
      </c>
    </row>
    <row r="122" spans="1:3" x14ac:dyDescent="0.3">
      <c r="A122">
        <v>22</v>
      </c>
      <c r="B122" s="51" t="s">
        <v>249</v>
      </c>
      <c r="C122" s="51" t="s">
        <v>83</v>
      </c>
    </row>
    <row r="123" spans="1:3" x14ac:dyDescent="0.3">
      <c r="A123">
        <v>23</v>
      </c>
      <c r="B123" s="51" t="s">
        <v>219</v>
      </c>
      <c r="C123" s="51" t="s">
        <v>84</v>
      </c>
    </row>
    <row r="124" spans="1:3" x14ac:dyDescent="0.3">
      <c r="A124">
        <v>24</v>
      </c>
      <c r="B124" s="50"/>
      <c r="C124" s="50"/>
    </row>
    <row r="125" spans="1:3" x14ac:dyDescent="0.3">
      <c r="A125">
        <v>25</v>
      </c>
      <c r="B125" s="50" t="s">
        <v>233</v>
      </c>
      <c r="C125" s="50" t="s">
        <v>85</v>
      </c>
    </row>
    <row r="126" spans="1:3" x14ac:dyDescent="0.3">
      <c r="A126">
        <v>26</v>
      </c>
      <c r="B126" s="51" t="s">
        <v>250</v>
      </c>
      <c r="C126" s="51" t="s">
        <v>86</v>
      </c>
    </row>
    <row r="127" spans="1:3" x14ac:dyDescent="0.3">
      <c r="A127">
        <v>27</v>
      </c>
      <c r="B127" s="51" t="s">
        <v>251</v>
      </c>
      <c r="C127" s="51" t="s">
        <v>87</v>
      </c>
    </row>
    <row r="128" spans="1:3" x14ac:dyDescent="0.3">
      <c r="A128">
        <v>28</v>
      </c>
      <c r="B128" s="51" t="s">
        <v>252</v>
      </c>
      <c r="C128" s="51" t="s">
        <v>88</v>
      </c>
    </row>
    <row r="129" spans="1:3" x14ac:dyDescent="0.3">
      <c r="A129">
        <v>29</v>
      </c>
      <c r="B129" s="51" t="s">
        <v>253</v>
      </c>
      <c r="C129" s="51" t="s">
        <v>89</v>
      </c>
    </row>
    <row r="130" spans="1:3" x14ac:dyDescent="0.3">
      <c r="A130">
        <v>30</v>
      </c>
      <c r="B130" s="52" t="s">
        <v>254</v>
      </c>
      <c r="C130" s="52" t="s">
        <v>90</v>
      </c>
    </row>
    <row r="131" spans="1:3" x14ac:dyDescent="0.3">
      <c r="A131">
        <v>31</v>
      </c>
      <c r="B131" s="60" t="s">
        <v>332</v>
      </c>
      <c r="C131" s="60" t="s">
        <v>329</v>
      </c>
    </row>
    <row r="132" spans="1:3" x14ac:dyDescent="0.3">
      <c r="A132">
        <v>32</v>
      </c>
      <c r="B132" s="51" t="s">
        <v>343</v>
      </c>
      <c r="C132" s="51" t="s">
        <v>344</v>
      </c>
    </row>
    <row r="133" spans="1:3" x14ac:dyDescent="0.3">
      <c r="A133">
        <v>33</v>
      </c>
      <c r="B133" s="51" t="s">
        <v>261</v>
      </c>
      <c r="C133" s="51" t="s">
        <v>92</v>
      </c>
    </row>
    <row r="134" spans="1:3" x14ac:dyDescent="0.3">
      <c r="A134">
        <v>34</v>
      </c>
      <c r="B134" s="60" t="s">
        <v>331</v>
      </c>
      <c r="C134" s="51" t="s">
        <v>330</v>
      </c>
    </row>
    <row r="135" spans="1:3" x14ac:dyDescent="0.3">
      <c r="A135">
        <v>35</v>
      </c>
      <c r="B135" s="51" t="s">
        <v>262</v>
      </c>
      <c r="C135" s="51" t="s">
        <v>128</v>
      </c>
    </row>
    <row r="136" spans="1:3" x14ac:dyDescent="0.3">
      <c r="A136">
        <v>36</v>
      </c>
      <c r="B136" s="51" t="s">
        <v>263</v>
      </c>
      <c r="C136" s="51" t="s">
        <v>93</v>
      </c>
    </row>
    <row r="137" spans="1:3" x14ac:dyDescent="0.3">
      <c r="A137">
        <v>37</v>
      </c>
      <c r="B137" s="50"/>
      <c r="C137" s="50"/>
    </row>
    <row r="138" spans="1:3" x14ac:dyDescent="0.3">
      <c r="A138">
        <v>38</v>
      </c>
      <c r="B138" s="50" t="s">
        <v>234</v>
      </c>
      <c r="C138" s="50" t="s">
        <v>94</v>
      </c>
    </row>
    <row r="139" spans="1:3" x14ac:dyDescent="0.3">
      <c r="A139">
        <v>39</v>
      </c>
      <c r="B139" s="51" t="s">
        <v>264</v>
      </c>
      <c r="C139" s="51" t="s">
        <v>95</v>
      </c>
    </row>
    <row r="140" spans="1:3" x14ac:dyDescent="0.3">
      <c r="A140">
        <v>40</v>
      </c>
      <c r="B140" s="51" t="s">
        <v>265</v>
      </c>
      <c r="C140" s="51" t="s">
        <v>96</v>
      </c>
    </row>
    <row r="141" spans="1:3" x14ac:dyDescent="0.3">
      <c r="A141">
        <v>41</v>
      </c>
      <c r="B141" s="52" t="s">
        <v>266</v>
      </c>
      <c r="C141" s="52" t="s">
        <v>97</v>
      </c>
    </row>
    <row r="142" spans="1:3" x14ac:dyDescent="0.3">
      <c r="A142">
        <v>42</v>
      </c>
      <c r="B142" s="51" t="s">
        <v>352</v>
      </c>
      <c r="C142" s="51" t="s">
        <v>351</v>
      </c>
    </row>
    <row r="143" spans="1:3" x14ac:dyDescent="0.3">
      <c r="A143">
        <v>43</v>
      </c>
      <c r="B143" s="51" t="s">
        <v>256</v>
      </c>
      <c r="C143" s="51" t="s">
        <v>98</v>
      </c>
    </row>
    <row r="144" spans="1:3" x14ac:dyDescent="0.3">
      <c r="A144">
        <v>44</v>
      </c>
      <c r="B144" s="51" t="s">
        <v>257</v>
      </c>
      <c r="C144" s="51" t="s">
        <v>99</v>
      </c>
    </row>
    <row r="145" spans="1:3" x14ac:dyDescent="0.3">
      <c r="A145">
        <v>45</v>
      </c>
      <c r="B145" s="51" t="s">
        <v>258</v>
      </c>
      <c r="C145" s="51" t="s">
        <v>100</v>
      </c>
    </row>
    <row r="146" spans="1:3" x14ac:dyDescent="0.3">
      <c r="A146">
        <v>46</v>
      </c>
      <c r="B146" s="51" t="s">
        <v>259</v>
      </c>
      <c r="C146" s="51" t="s">
        <v>101</v>
      </c>
    </row>
    <row r="147" spans="1:3" x14ac:dyDescent="0.3">
      <c r="A147">
        <v>47</v>
      </c>
      <c r="B147" s="51" t="s">
        <v>355</v>
      </c>
      <c r="C147" s="51" t="s">
        <v>303</v>
      </c>
    </row>
    <row r="148" spans="1:3" x14ac:dyDescent="0.3">
      <c r="A148">
        <v>48</v>
      </c>
      <c r="B148" s="51" t="s">
        <v>356</v>
      </c>
      <c r="C148" s="51" t="s">
        <v>333</v>
      </c>
    </row>
    <row r="149" spans="1:3" x14ac:dyDescent="0.3">
      <c r="A149">
        <v>49</v>
      </c>
      <c r="B149" s="50"/>
      <c r="C149" s="50"/>
    </row>
    <row r="150" spans="1:3" x14ac:dyDescent="0.3">
      <c r="A150">
        <v>50</v>
      </c>
      <c r="B150" s="50" t="s">
        <v>260</v>
      </c>
      <c r="C150" s="50" t="s">
        <v>102</v>
      </c>
    </row>
    <row r="151" spans="1:3" x14ac:dyDescent="0.3">
      <c r="A151">
        <v>51</v>
      </c>
      <c r="B151" s="51" t="s">
        <v>235</v>
      </c>
      <c r="C151" s="51" t="s">
        <v>103</v>
      </c>
    </row>
    <row r="152" spans="1:3" x14ac:dyDescent="0.3">
      <c r="A152">
        <v>52</v>
      </c>
      <c r="B152" s="51" t="s">
        <v>267</v>
      </c>
      <c r="C152" s="51" t="s">
        <v>104</v>
      </c>
    </row>
    <row r="153" spans="1:3" x14ac:dyDescent="0.3">
      <c r="A153">
        <v>53</v>
      </c>
      <c r="B153" s="50" t="s">
        <v>268</v>
      </c>
      <c r="C153" s="50" t="s">
        <v>105</v>
      </c>
    </row>
    <row r="154" spans="1:3" x14ac:dyDescent="0.3">
      <c r="A154">
        <v>54</v>
      </c>
      <c r="B154" t="s">
        <v>313</v>
      </c>
      <c r="C154" s="51" t="s">
        <v>302</v>
      </c>
    </row>
    <row r="156" spans="1:3" s="77" customFormat="1" x14ac:dyDescent="0.3">
      <c r="B156" s="77" t="s">
        <v>291</v>
      </c>
      <c r="C156" s="77" t="s">
        <v>165</v>
      </c>
    </row>
    <row r="157" spans="1:3" x14ac:dyDescent="0.3">
      <c r="A157">
        <v>1</v>
      </c>
      <c r="B157" t="s">
        <v>152</v>
      </c>
      <c r="C157" t="s">
        <v>297</v>
      </c>
    </row>
    <row r="158" spans="1:3" x14ac:dyDescent="0.3">
      <c r="A158">
        <v>2</v>
      </c>
      <c r="B158" s="36" t="s">
        <v>198</v>
      </c>
      <c r="C158" s="36" t="s">
        <v>16</v>
      </c>
    </row>
    <row r="159" spans="1:3" x14ac:dyDescent="0.3">
      <c r="A159">
        <v>3</v>
      </c>
      <c r="B159" s="37" t="s">
        <v>215</v>
      </c>
      <c r="C159" s="37" t="s">
        <v>17</v>
      </c>
    </row>
    <row r="160" spans="1:3" x14ac:dyDescent="0.3">
      <c r="A160">
        <v>4</v>
      </c>
      <c r="B160" s="37" t="s">
        <v>199</v>
      </c>
      <c r="C160" s="37" t="s">
        <v>18</v>
      </c>
    </row>
    <row r="161" spans="1:3" x14ac:dyDescent="0.3">
      <c r="A161">
        <v>5</v>
      </c>
      <c r="B161" s="37" t="s">
        <v>200</v>
      </c>
      <c r="C161" s="37" t="s">
        <v>19</v>
      </c>
    </row>
    <row r="162" spans="1:3" x14ac:dyDescent="0.3">
      <c r="A162">
        <v>6</v>
      </c>
      <c r="B162" s="37" t="s">
        <v>216</v>
      </c>
      <c r="C162" s="37" t="s">
        <v>20</v>
      </c>
    </row>
    <row r="163" spans="1:3" x14ac:dyDescent="0.3">
      <c r="A163">
        <v>7</v>
      </c>
      <c r="B163" s="38" t="s">
        <v>221</v>
      </c>
      <c r="C163" s="38" t="s">
        <v>21</v>
      </c>
    </row>
    <row r="164" spans="1:3" x14ac:dyDescent="0.3">
      <c r="A164">
        <v>8</v>
      </c>
      <c r="B164" s="39" t="s">
        <v>222</v>
      </c>
      <c r="C164" s="39" t="s">
        <v>22</v>
      </c>
    </row>
    <row r="165" spans="1:3" x14ac:dyDescent="0.3">
      <c r="A165">
        <v>9</v>
      </c>
      <c r="B165" s="36" t="s">
        <v>201</v>
      </c>
      <c r="C165" s="36" t="s">
        <v>23</v>
      </c>
    </row>
    <row r="166" spans="1:3" x14ac:dyDescent="0.3">
      <c r="A166">
        <v>10</v>
      </c>
      <c r="B166" s="40" t="s">
        <v>217</v>
      </c>
      <c r="C166" s="40" t="s">
        <v>24</v>
      </c>
    </row>
    <row r="167" spans="1:3" x14ac:dyDescent="0.3">
      <c r="A167">
        <v>11</v>
      </c>
      <c r="B167" s="40" t="s">
        <v>218</v>
      </c>
      <c r="C167" s="40" t="s">
        <v>25</v>
      </c>
    </row>
    <row r="168" spans="1:3" x14ac:dyDescent="0.3">
      <c r="A168">
        <v>12</v>
      </c>
      <c r="B168" s="39" t="s">
        <v>202</v>
      </c>
      <c r="C168" s="39" t="s">
        <v>26</v>
      </c>
    </row>
    <row r="169" spans="1:3" x14ac:dyDescent="0.3">
      <c r="A169">
        <v>13</v>
      </c>
      <c r="B169" s="40" t="s">
        <v>203</v>
      </c>
      <c r="C169" s="40" t="s">
        <v>27</v>
      </c>
    </row>
    <row r="170" spans="1:3" x14ac:dyDescent="0.3">
      <c r="A170">
        <v>14</v>
      </c>
      <c r="B170" s="40" t="s">
        <v>220</v>
      </c>
      <c r="C170" s="40" t="s">
        <v>28</v>
      </c>
    </row>
    <row r="171" spans="1:3" x14ac:dyDescent="0.3">
      <c r="A171">
        <v>15</v>
      </c>
      <c r="B171" s="36" t="s">
        <v>204</v>
      </c>
      <c r="C171" s="36" t="s">
        <v>304</v>
      </c>
    </row>
    <row r="172" spans="1:3" x14ac:dyDescent="0.3">
      <c r="A172">
        <v>16</v>
      </c>
      <c r="B172" s="36" t="s">
        <v>205</v>
      </c>
      <c r="C172" s="36" t="s">
        <v>29</v>
      </c>
    </row>
    <row r="173" spans="1:3" x14ac:dyDescent="0.3">
      <c r="A173">
        <v>17</v>
      </c>
      <c r="B173" s="37" t="s">
        <v>206</v>
      </c>
      <c r="C173" s="37" t="s">
        <v>30</v>
      </c>
    </row>
    <row r="174" spans="1:3" x14ac:dyDescent="0.3">
      <c r="A174">
        <v>18</v>
      </c>
      <c r="B174" s="36" t="s">
        <v>207</v>
      </c>
      <c r="C174" s="36" t="s">
        <v>31</v>
      </c>
    </row>
    <row r="175" spans="1:3" x14ac:dyDescent="0.3">
      <c r="A175">
        <v>19</v>
      </c>
      <c r="B175" s="37" t="s">
        <v>225</v>
      </c>
      <c r="C175" s="37" t="s">
        <v>33</v>
      </c>
    </row>
    <row r="176" spans="1:3" x14ac:dyDescent="0.3">
      <c r="A176">
        <v>20</v>
      </c>
      <c r="B176" s="36" t="s">
        <v>227</v>
      </c>
      <c r="C176" s="36" t="s">
        <v>39</v>
      </c>
    </row>
    <row r="177" spans="1:3" x14ac:dyDescent="0.3">
      <c r="A177">
        <v>21</v>
      </c>
      <c r="B177" s="53" t="s">
        <v>269</v>
      </c>
      <c r="C177" s="53" t="s">
        <v>117</v>
      </c>
    </row>
    <row r="178" spans="1:3" x14ac:dyDescent="0.3">
      <c r="A178">
        <v>22</v>
      </c>
      <c r="B178" s="53" t="s">
        <v>270</v>
      </c>
      <c r="C178" s="53" t="s">
        <v>118</v>
      </c>
    </row>
    <row r="180" spans="1:3" s="77" customFormat="1" x14ac:dyDescent="0.3">
      <c r="B180" s="77" t="s">
        <v>288</v>
      </c>
      <c r="C180" s="77" t="s">
        <v>166</v>
      </c>
    </row>
    <row r="181" spans="1:3" x14ac:dyDescent="0.3">
      <c r="A181">
        <v>1</v>
      </c>
      <c r="B181" t="s">
        <v>152</v>
      </c>
      <c r="C181" t="s">
        <v>297</v>
      </c>
    </row>
    <row r="182" spans="1:3" x14ac:dyDescent="0.3">
      <c r="A182">
        <v>2</v>
      </c>
      <c r="B182" s="43" t="s">
        <v>180</v>
      </c>
      <c r="C182" s="43" t="s">
        <v>40</v>
      </c>
    </row>
    <row r="183" spans="1:3" x14ac:dyDescent="0.3">
      <c r="A183">
        <v>3</v>
      </c>
      <c r="B183" s="43" t="s">
        <v>181</v>
      </c>
      <c r="C183" s="43" t="s">
        <v>41</v>
      </c>
    </row>
    <row r="184" spans="1:3" x14ac:dyDescent="0.3">
      <c r="A184">
        <v>4</v>
      </c>
      <c r="B184" s="43" t="s">
        <v>182</v>
      </c>
      <c r="C184" s="43" t="s">
        <v>42</v>
      </c>
    </row>
    <row r="185" spans="1:3" x14ac:dyDescent="0.3">
      <c r="A185">
        <v>5</v>
      </c>
      <c r="B185" s="43" t="s">
        <v>176</v>
      </c>
      <c r="C185" s="43" t="s">
        <v>43</v>
      </c>
    </row>
    <row r="186" spans="1:3" x14ac:dyDescent="0.3">
      <c r="A186">
        <v>6</v>
      </c>
      <c r="B186" s="43" t="s">
        <v>275</v>
      </c>
      <c r="C186" s="43" t="s">
        <v>115</v>
      </c>
    </row>
    <row r="187" spans="1:3" x14ac:dyDescent="0.3">
      <c r="A187">
        <v>7</v>
      </c>
      <c r="B187" s="43" t="s">
        <v>183</v>
      </c>
      <c r="C187" s="38" t="s">
        <v>44</v>
      </c>
    </row>
    <row r="188" spans="1:3" x14ac:dyDescent="0.3">
      <c r="A188">
        <v>8</v>
      </c>
      <c r="B188" s="44" t="s">
        <v>171</v>
      </c>
      <c r="C188" s="44" t="s">
        <v>45</v>
      </c>
    </row>
    <row r="189" spans="1:3" x14ac:dyDescent="0.3">
      <c r="A189">
        <v>9</v>
      </c>
      <c r="B189" s="43" t="s">
        <v>177</v>
      </c>
      <c r="C189" s="43" t="s">
        <v>46</v>
      </c>
    </row>
    <row r="190" spans="1:3" x14ac:dyDescent="0.3">
      <c r="A190">
        <v>10</v>
      </c>
      <c r="B190" s="43" t="s">
        <v>276</v>
      </c>
      <c r="C190" s="43" t="s">
        <v>47</v>
      </c>
    </row>
    <row r="191" spans="1:3" x14ac:dyDescent="0.3">
      <c r="A191">
        <v>11</v>
      </c>
      <c r="B191" s="43" t="s">
        <v>277</v>
      </c>
      <c r="C191" s="43" t="s">
        <v>132</v>
      </c>
    </row>
    <row r="192" spans="1:3" x14ac:dyDescent="0.3">
      <c r="A192">
        <v>12</v>
      </c>
      <c r="B192" s="43" t="s">
        <v>176</v>
      </c>
      <c r="C192" s="43" t="s">
        <v>43</v>
      </c>
    </row>
    <row r="193" spans="1:3" x14ac:dyDescent="0.3">
      <c r="A193">
        <v>13</v>
      </c>
      <c r="B193" s="43" t="s">
        <v>179</v>
      </c>
      <c r="C193" s="43" t="s">
        <v>48</v>
      </c>
    </row>
    <row r="194" spans="1:3" x14ac:dyDescent="0.3">
      <c r="A194">
        <v>14</v>
      </c>
      <c r="B194" s="44" t="s">
        <v>172</v>
      </c>
      <c r="C194" s="44" t="s">
        <v>49</v>
      </c>
    </row>
    <row r="195" spans="1:3" x14ac:dyDescent="0.3">
      <c r="A195">
        <v>15</v>
      </c>
      <c r="B195" s="45" t="s">
        <v>175</v>
      </c>
      <c r="C195" s="45" t="s">
        <v>50</v>
      </c>
    </row>
    <row r="196" spans="1:3" x14ac:dyDescent="0.3">
      <c r="A196">
        <v>16</v>
      </c>
      <c r="B196" s="59" t="s">
        <v>184</v>
      </c>
      <c r="C196" s="46" t="s">
        <v>51</v>
      </c>
    </row>
    <row r="197" spans="1:3" x14ac:dyDescent="0.3">
      <c r="A197">
        <v>17</v>
      </c>
      <c r="B197" s="59" t="s">
        <v>185</v>
      </c>
      <c r="C197" s="46" t="s">
        <v>52</v>
      </c>
    </row>
    <row r="198" spans="1:3" x14ac:dyDescent="0.3">
      <c r="A198">
        <v>18</v>
      </c>
      <c r="B198" s="59" t="s">
        <v>286</v>
      </c>
      <c r="C198" s="46" t="s">
        <v>53</v>
      </c>
    </row>
    <row r="199" spans="1:3" x14ac:dyDescent="0.3">
      <c r="A199">
        <v>19</v>
      </c>
      <c r="B199" s="59" t="s">
        <v>192</v>
      </c>
      <c r="C199" s="46" t="s">
        <v>54</v>
      </c>
    </row>
    <row r="200" spans="1:3" x14ac:dyDescent="0.3">
      <c r="A200">
        <v>20</v>
      </c>
      <c r="B200" s="48" t="s">
        <v>278</v>
      </c>
      <c r="C200" s="47" t="s">
        <v>116</v>
      </c>
    </row>
    <row r="201" spans="1:3" x14ac:dyDescent="0.3">
      <c r="A201">
        <v>21</v>
      </c>
      <c r="B201" s="59" t="s">
        <v>195</v>
      </c>
      <c r="C201" s="46" t="s">
        <v>57</v>
      </c>
    </row>
    <row r="202" spans="1:3" x14ac:dyDescent="0.3">
      <c r="A202">
        <v>22</v>
      </c>
      <c r="B202" s="59" t="s">
        <v>196</v>
      </c>
      <c r="C202" s="46" t="s">
        <v>58</v>
      </c>
    </row>
    <row r="203" spans="1:3" x14ac:dyDescent="0.3">
      <c r="A203">
        <v>23</v>
      </c>
      <c r="B203" s="59" t="s">
        <v>186</v>
      </c>
      <c r="C203" s="59" t="s">
        <v>59</v>
      </c>
    </row>
    <row r="204" spans="1:3" x14ac:dyDescent="0.3">
      <c r="A204">
        <v>24</v>
      </c>
      <c r="B204" s="59" t="s">
        <v>187</v>
      </c>
      <c r="C204" s="46" t="s">
        <v>60</v>
      </c>
    </row>
    <row r="205" spans="1:3" x14ac:dyDescent="0.3">
      <c r="A205">
        <v>25</v>
      </c>
      <c r="B205" s="48" t="s">
        <v>173</v>
      </c>
      <c r="C205" s="48" t="s">
        <v>61</v>
      </c>
    </row>
    <row r="206" spans="1:3" x14ac:dyDescent="0.3">
      <c r="A206">
        <v>26</v>
      </c>
      <c r="B206" s="59" t="s">
        <v>188</v>
      </c>
      <c r="C206" s="46" t="s">
        <v>62</v>
      </c>
    </row>
    <row r="207" spans="1:3" x14ac:dyDescent="0.3">
      <c r="A207">
        <v>27</v>
      </c>
      <c r="B207" s="59" t="s">
        <v>186</v>
      </c>
      <c r="C207" s="59" t="s">
        <v>59</v>
      </c>
    </row>
    <row r="208" spans="1:3" x14ac:dyDescent="0.3">
      <c r="A208">
        <v>28</v>
      </c>
      <c r="B208" s="59" t="s">
        <v>189</v>
      </c>
      <c r="C208" s="46" t="s">
        <v>63</v>
      </c>
    </row>
    <row r="209" spans="1:3" x14ac:dyDescent="0.3">
      <c r="A209">
        <v>29</v>
      </c>
      <c r="B209" s="59" t="s">
        <v>190</v>
      </c>
      <c r="C209" s="46" t="s">
        <v>64</v>
      </c>
    </row>
    <row r="210" spans="1:3" x14ac:dyDescent="0.3">
      <c r="A210">
        <v>30</v>
      </c>
      <c r="B210" s="59" t="s">
        <v>187</v>
      </c>
      <c r="C210" s="46" t="s">
        <v>60</v>
      </c>
    </row>
    <row r="211" spans="1:3" x14ac:dyDescent="0.3">
      <c r="A211">
        <v>31</v>
      </c>
      <c r="B211" s="48" t="s">
        <v>191</v>
      </c>
      <c r="C211" s="48" t="s">
        <v>65</v>
      </c>
    </row>
    <row r="212" spans="1:3" x14ac:dyDescent="0.3">
      <c r="A212">
        <v>32</v>
      </c>
      <c r="B212" s="48" t="s">
        <v>174</v>
      </c>
      <c r="C212" s="48" t="s">
        <v>66</v>
      </c>
    </row>
    <row r="213" spans="1:3" x14ac:dyDescent="0.3">
      <c r="A213">
        <v>33</v>
      </c>
      <c r="B213" s="18" t="s">
        <v>279</v>
      </c>
      <c r="C213" s="18" t="s">
        <v>67</v>
      </c>
    </row>
    <row r="214" spans="1:3" x14ac:dyDescent="0.3">
      <c r="A214">
        <v>34</v>
      </c>
      <c r="B214" s="59" t="s">
        <v>314</v>
      </c>
      <c r="C214" s="59" t="s">
        <v>311</v>
      </c>
    </row>
    <row r="215" spans="1:3" x14ac:dyDescent="0.3">
      <c r="A215">
        <v>35</v>
      </c>
      <c r="B215" s="59" t="s">
        <v>312</v>
      </c>
      <c r="C215" s="59" t="s">
        <v>300</v>
      </c>
    </row>
    <row r="216" spans="1:3" x14ac:dyDescent="0.3">
      <c r="A216">
        <v>36</v>
      </c>
      <c r="B216" s="59" t="s">
        <v>314</v>
      </c>
      <c r="C216" s="59" t="s">
        <v>311</v>
      </c>
    </row>
    <row r="217" spans="1:3" x14ac:dyDescent="0.3">
      <c r="B217" s="18"/>
      <c r="C217" s="18"/>
    </row>
    <row r="218" spans="1:3" s="77" customFormat="1" x14ac:dyDescent="0.3">
      <c r="B218" s="77" t="s">
        <v>289</v>
      </c>
      <c r="C218" s="77" t="s">
        <v>167</v>
      </c>
    </row>
    <row r="219" spans="1:3" x14ac:dyDescent="0.3">
      <c r="A219">
        <v>1</v>
      </c>
      <c r="B219" t="s">
        <v>152</v>
      </c>
      <c r="C219" t="s">
        <v>297</v>
      </c>
    </row>
    <row r="220" spans="1:3" x14ac:dyDescent="0.3">
      <c r="A220">
        <v>2</v>
      </c>
      <c r="B220" s="49" t="s">
        <v>228</v>
      </c>
      <c r="C220" s="49" t="s">
        <v>68</v>
      </c>
    </row>
    <row r="221" spans="1:3" x14ac:dyDescent="0.3">
      <c r="A221">
        <v>3</v>
      </c>
      <c r="B221" s="50" t="s">
        <v>229</v>
      </c>
      <c r="C221" s="50" t="s">
        <v>106</v>
      </c>
    </row>
    <row r="222" spans="1:3" x14ac:dyDescent="0.3">
      <c r="A222">
        <v>4</v>
      </c>
      <c r="B222" s="51" t="s">
        <v>236</v>
      </c>
      <c r="C222" s="54" t="s">
        <v>69</v>
      </c>
    </row>
    <row r="223" spans="1:3" x14ac:dyDescent="0.3">
      <c r="A223">
        <v>5</v>
      </c>
      <c r="B223" s="51" t="s">
        <v>237</v>
      </c>
      <c r="C223" s="54" t="s">
        <v>70</v>
      </c>
    </row>
    <row r="224" spans="1:3" x14ac:dyDescent="0.3">
      <c r="A224">
        <v>6</v>
      </c>
      <c r="B224" s="51" t="s">
        <v>206</v>
      </c>
      <c r="C224" s="54" t="s">
        <v>30</v>
      </c>
    </row>
    <row r="225" spans="1:3" x14ac:dyDescent="0.3">
      <c r="A225">
        <v>7</v>
      </c>
      <c r="B225" s="51" t="s">
        <v>231</v>
      </c>
      <c r="C225" s="54" t="s">
        <v>71</v>
      </c>
    </row>
    <row r="226" spans="1:3" x14ac:dyDescent="0.3">
      <c r="A226">
        <v>8</v>
      </c>
      <c r="B226" s="51" t="s">
        <v>280</v>
      </c>
      <c r="C226" s="54" t="s">
        <v>72</v>
      </c>
    </row>
    <row r="227" spans="1:3" x14ac:dyDescent="0.3">
      <c r="A227">
        <v>9</v>
      </c>
      <c r="B227" s="51" t="s">
        <v>232</v>
      </c>
      <c r="C227" s="54" t="s">
        <v>73</v>
      </c>
    </row>
    <row r="228" spans="1:3" x14ac:dyDescent="0.3">
      <c r="A228">
        <v>10</v>
      </c>
      <c r="B228" s="51" t="s">
        <v>238</v>
      </c>
      <c r="C228" s="54" t="s">
        <v>75</v>
      </c>
    </row>
    <row r="229" spans="1:3" x14ac:dyDescent="0.3">
      <c r="A229">
        <v>11</v>
      </c>
      <c r="B229" s="51" t="s">
        <v>239</v>
      </c>
      <c r="C229" s="54" t="s">
        <v>76</v>
      </c>
    </row>
    <row r="230" spans="1:3" x14ac:dyDescent="0.3">
      <c r="A230">
        <v>12</v>
      </c>
      <c r="B230" s="51" t="s">
        <v>240</v>
      </c>
      <c r="C230" s="54" t="s">
        <v>74</v>
      </c>
    </row>
    <row r="231" spans="1:3" x14ac:dyDescent="0.3">
      <c r="A231">
        <v>13</v>
      </c>
      <c r="B231" s="51" t="s">
        <v>230</v>
      </c>
      <c r="C231" s="54" t="s">
        <v>77</v>
      </c>
    </row>
    <row r="232" spans="1:3" x14ac:dyDescent="0.3">
      <c r="A232">
        <v>14</v>
      </c>
      <c r="B232" s="52" t="s">
        <v>241</v>
      </c>
      <c r="C232" s="54" t="s">
        <v>119</v>
      </c>
    </row>
    <row r="233" spans="1:3" x14ac:dyDescent="0.3">
      <c r="A233">
        <v>15</v>
      </c>
      <c r="B233" s="52" t="s">
        <v>242</v>
      </c>
      <c r="C233" s="54" t="s">
        <v>125</v>
      </c>
    </row>
    <row r="234" spans="1:3" x14ac:dyDescent="0.3">
      <c r="A234">
        <v>16</v>
      </c>
      <c r="B234" s="52" t="s">
        <v>247</v>
      </c>
      <c r="C234" s="54" t="s">
        <v>127</v>
      </c>
    </row>
    <row r="235" spans="1:3" x14ac:dyDescent="0.3">
      <c r="A235">
        <v>17</v>
      </c>
      <c r="B235" s="51" t="s">
        <v>243</v>
      </c>
      <c r="C235" s="54" t="s">
        <v>126</v>
      </c>
    </row>
    <row r="236" spans="1:3" x14ac:dyDescent="0.3">
      <c r="A236">
        <v>18</v>
      </c>
      <c r="B236" s="51" t="s">
        <v>315</v>
      </c>
      <c r="C236" s="54" t="s">
        <v>302</v>
      </c>
    </row>
    <row r="237" spans="1:3" x14ac:dyDescent="0.3">
      <c r="A237">
        <v>19</v>
      </c>
      <c r="B237" s="51" t="s">
        <v>248</v>
      </c>
      <c r="C237" s="54" t="s">
        <v>120</v>
      </c>
    </row>
    <row r="238" spans="1:3" x14ac:dyDescent="0.3">
      <c r="A238">
        <v>20</v>
      </c>
      <c r="B238" s="52" t="s">
        <v>245</v>
      </c>
      <c r="C238" s="54" t="s">
        <v>121</v>
      </c>
    </row>
    <row r="239" spans="1:3" x14ac:dyDescent="0.3">
      <c r="A239">
        <v>21</v>
      </c>
      <c r="B239" s="51" t="s">
        <v>246</v>
      </c>
      <c r="C239" s="54" t="s">
        <v>78</v>
      </c>
    </row>
    <row r="240" spans="1:3" x14ac:dyDescent="0.3">
      <c r="A240">
        <v>22</v>
      </c>
      <c r="B240" s="51" t="s">
        <v>249</v>
      </c>
      <c r="C240" s="54" t="s">
        <v>82</v>
      </c>
    </row>
    <row r="241" spans="1:3" x14ac:dyDescent="0.3">
      <c r="A241">
        <v>23</v>
      </c>
      <c r="B241" s="51" t="s">
        <v>219</v>
      </c>
      <c r="C241" s="54" t="s">
        <v>21</v>
      </c>
    </row>
    <row r="242" spans="1:3" x14ac:dyDescent="0.3">
      <c r="A242">
        <v>24</v>
      </c>
      <c r="B242" s="50"/>
      <c r="C242" s="50"/>
    </row>
    <row r="243" spans="1:3" x14ac:dyDescent="0.3">
      <c r="A243">
        <v>25</v>
      </c>
      <c r="B243" s="50" t="s">
        <v>233</v>
      </c>
      <c r="C243" s="50" t="s">
        <v>85</v>
      </c>
    </row>
    <row r="244" spans="1:3" x14ac:dyDescent="0.3">
      <c r="A244">
        <v>26</v>
      </c>
      <c r="B244" s="51" t="s">
        <v>250</v>
      </c>
      <c r="C244" s="54" t="s">
        <v>86</v>
      </c>
    </row>
    <row r="245" spans="1:3" x14ac:dyDescent="0.3">
      <c r="A245">
        <v>27</v>
      </c>
      <c r="B245" s="51" t="s">
        <v>251</v>
      </c>
      <c r="C245" s="54" t="s">
        <v>87</v>
      </c>
    </row>
    <row r="246" spans="1:3" x14ac:dyDescent="0.3">
      <c r="A246">
        <v>28</v>
      </c>
      <c r="B246" s="51" t="s">
        <v>252</v>
      </c>
      <c r="C246" s="54" t="s">
        <v>88</v>
      </c>
    </row>
    <row r="247" spans="1:3" x14ac:dyDescent="0.3">
      <c r="A247">
        <v>29</v>
      </c>
      <c r="B247" s="51" t="s">
        <v>253</v>
      </c>
      <c r="C247" s="54" t="s">
        <v>89</v>
      </c>
    </row>
    <row r="248" spans="1:3" x14ac:dyDescent="0.3">
      <c r="A248">
        <v>30</v>
      </c>
      <c r="B248" s="60" t="s">
        <v>282</v>
      </c>
      <c r="C248" s="60" t="s">
        <v>122</v>
      </c>
    </row>
    <row r="249" spans="1:3" x14ac:dyDescent="0.3">
      <c r="A249">
        <v>31</v>
      </c>
      <c r="B249" s="51" t="s">
        <v>283</v>
      </c>
      <c r="C249" s="60" t="s">
        <v>129</v>
      </c>
    </row>
    <row r="250" spans="1:3" x14ac:dyDescent="0.3">
      <c r="A250">
        <v>32</v>
      </c>
      <c r="B250" s="51" t="s">
        <v>284</v>
      </c>
      <c r="C250" s="60" t="s">
        <v>130</v>
      </c>
    </row>
    <row r="251" spans="1:3" x14ac:dyDescent="0.3">
      <c r="A251">
        <v>33</v>
      </c>
      <c r="B251" s="51" t="s">
        <v>261</v>
      </c>
      <c r="C251" s="60" t="s">
        <v>92</v>
      </c>
    </row>
    <row r="252" spans="1:3" x14ac:dyDescent="0.3">
      <c r="A252">
        <v>34</v>
      </c>
      <c r="B252" s="51" t="s">
        <v>255</v>
      </c>
      <c r="C252" s="54" t="s">
        <v>91</v>
      </c>
    </row>
    <row r="253" spans="1:3" x14ac:dyDescent="0.3">
      <c r="A253">
        <v>35</v>
      </c>
      <c r="B253" s="51" t="s">
        <v>285</v>
      </c>
      <c r="C253" s="54" t="s">
        <v>123</v>
      </c>
    </row>
    <row r="254" spans="1:3" x14ac:dyDescent="0.3">
      <c r="A254">
        <v>36</v>
      </c>
      <c r="B254" s="51"/>
      <c r="C254" s="50"/>
    </row>
    <row r="255" spans="1:3" x14ac:dyDescent="0.3">
      <c r="A255">
        <v>37</v>
      </c>
      <c r="B255" s="50" t="s">
        <v>234</v>
      </c>
      <c r="C255" s="50" t="s">
        <v>94</v>
      </c>
    </row>
    <row r="256" spans="1:3" x14ac:dyDescent="0.3">
      <c r="A256">
        <v>38</v>
      </c>
      <c r="B256" s="51" t="s">
        <v>265</v>
      </c>
      <c r="C256" s="54" t="s">
        <v>96</v>
      </c>
    </row>
    <row r="257" spans="1:3" x14ac:dyDescent="0.3">
      <c r="A257">
        <v>39</v>
      </c>
      <c r="B257" s="52" t="s">
        <v>266</v>
      </c>
      <c r="C257" s="54" t="s">
        <v>97</v>
      </c>
    </row>
    <row r="258" spans="1:3" x14ac:dyDescent="0.3">
      <c r="A258">
        <v>40</v>
      </c>
      <c r="B258" s="51" t="s">
        <v>257</v>
      </c>
      <c r="C258" s="54" t="s">
        <v>99</v>
      </c>
    </row>
    <row r="259" spans="1:3" x14ac:dyDescent="0.3">
      <c r="A259">
        <v>41</v>
      </c>
      <c r="B259" s="51" t="s">
        <v>264</v>
      </c>
      <c r="C259" s="54" t="s">
        <v>95</v>
      </c>
    </row>
    <row r="260" spans="1:3" x14ac:dyDescent="0.3">
      <c r="A260">
        <v>42</v>
      </c>
      <c r="B260" s="51" t="s">
        <v>287</v>
      </c>
      <c r="C260" s="54" t="s">
        <v>131</v>
      </c>
    </row>
    <row r="261" spans="1:3" x14ac:dyDescent="0.3">
      <c r="A261">
        <v>43</v>
      </c>
      <c r="B261" s="51" t="s">
        <v>258</v>
      </c>
      <c r="C261" s="54" t="s">
        <v>100</v>
      </c>
    </row>
    <row r="262" spans="1:3" x14ac:dyDescent="0.3">
      <c r="A262">
        <v>44</v>
      </c>
      <c r="B262" s="51" t="s">
        <v>259</v>
      </c>
      <c r="C262" s="55" t="s">
        <v>124</v>
      </c>
    </row>
    <row r="263" spans="1:3" x14ac:dyDescent="0.3">
      <c r="A263">
        <v>45</v>
      </c>
      <c r="B263" s="51" t="s">
        <v>261</v>
      </c>
      <c r="C263" s="51" t="s">
        <v>92</v>
      </c>
    </row>
    <row r="264" spans="1:3" x14ac:dyDescent="0.3">
      <c r="A264">
        <v>46</v>
      </c>
      <c r="B264" s="50" t="s">
        <v>260</v>
      </c>
      <c r="C264" s="50" t="s">
        <v>102</v>
      </c>
    </row>
    <row r="265" spans="1:3" x14ac:dyDescent="0.3">
      <c r="A265">
        <v>47</v>
      </c>
      <c r="B265" s="51" t="s">
        <v>235</v>
      </c>
      <c r="C265" s="51" t="s">
        <v>103</v>
      </c>
    </row>
    <row r="266" spans="1:3" x14ac:dyDescent="0.3">
      <c r="A266">
        <v>48</v>
      </c>
      <c r="B266" s="50" t="s">
        <v>268</v>
      </c>
      <c r="C266" s="50" t="s">
        <v>105</v>
      </c>
    </row>
    <row r="267" spans="1:3" x14ac:dyDescent="0.3">
      <c r="B267" s="50"/>
      <c r="C267" s="50"/>
    </row>
    <row r="268" spans="1:3" x14ac:dyDescent="0.3">
      <c r="A268">
        <v>50</v>
      </c>
      <c r="B268" s="51" t="s">
        <v>316</v>
      </c>
      <c r="C268" s="2" t="s">
        <v>301</v>
      </c>
    </row>
    <row r="269" spans="1:3" x14ac:dyDescent="0.3">
      <c r="B269" s="2"/>
      <c r="C269" s="2"/>
    </row>
    <row r="270" spans="1:3" s="78" customFormat="1" x14ac:dyDescent="0.3">
      <c r="B270" s="77" t="s">
        <v>161</v>
      </c>
      <c r="C270" s="77" t="s">
        <v>168</v>
      </c>
    </row>
    <row r="271" spans="1:3" x14ac:dyDescent="0.3">
      <c r="A271">
        <v>1</v>
      </c>
      <c r="B271" t="s">
        <v>152</v>
      </c>
      <c r="C271" t="s">
        <v>297</v>
      </c>
    </row>
    <row r="272" spans="1:3" x14ac:dyDescent="0.3">
      <c r="A272">
        <v>2</v>
      </c>
      <c r="B272" s="36" t="s">
        <v>294</v>
      </c>
      <c r="C272" s="36" t="s">
        <v>295</v>
      </c>
    </row>
    <row r="273" spans="1:3" x14ac:dyDescent="0.3">
      <c r="A273">
        <v>3</v>
      </c>
      <c r="B273" s="2" t="s">
        <v>143</v>
      </c>
      <c r="C273" s="2" t="s">
        <v>142</v>
      </c>
    </row>
    <row r="274" spans="1:3" x14ac:dyDescent="0.3">
      <c r="A274">
        <v>4</v>
      </c>
      <c r="B274" s="24" t="s">
        <v>107</v>
      </c>
      <c r="C274" s="24" t="s">
        <v>107</v>
      </c>
    </row>
    <row r="275" spans="1:3" x14ac:dyDescent="0.3">
      <c r="A275">
        <v>5</v>
      </c>
      <c r="B275" s="24" t="s">
        <v>134</v>
      </c>
      <c r="C275" s="24" t="s">
        <v>134</v>
      </c>
    </row>
    <row r="276" spans="1:3" x14ac:dyDescent="0.3">
      <c r="A276">
        <v>6</v>
      </c>
      <c r="B276" s="24" t="s">
        <v>141</v>
      </c>
      <c r="C276" s="24" t="s">
        <v>108</v>
      </c>
    </row>
    <row r="277" spans="1:3" x14ac:dyDescent="0.3">
      <c r="A277">
        <v>7</v>
      </c>
      <c r="B277" s="24"/>
      <c r="C277" s="24"/>
    </row>
    <row r="278" spans="1:3" x14ac:dyDescent="0.3">
      <c r="A278">
        <v>8</v>
      </c>
      <c r="B278" s="25" t="s">
        <v>145</v>
      </c>
      <c r="C278" s="25" t="s">
        <v>144</v>
      </c>
    </row>
    <row r="279" spans="1:3" x14ac:dyDescent="0.3">
      <c r="A279">
        <v>9</v>
      </c>
      <c r="B279" s="56" t="s">
        <v>146</v>
      </c>
      <c r="C279" s="56" t="s">
        <v>137</v>
      </c>
    </row>
    <row r="280" spans="1:3" x14ac:dyDescent="0.3">
      <c r="A280">
        <v>10</v>
      </c>
      <c r="B280" s="24" t="s">
        <v>147</v>
      </c>
      <c r="C280" s="24" t="s">
        <v>138</v>
      </c>
    </row>
    <row r="281" spans="1:3" x14ac:dyDescent="0.3">
      <c r="A281">
        <v>11</v>
      </c>
      <c r="B281" s="24"/>
      <c r="C281" s="24"/>
    </row>
    <row r="282" spans="1:3" x14ac:dyDescent="0.3">
      <c r="A282">
        <v>12</v>
      </c>
      <c r="B282" s="25" t="s">
        <v>149</v>
      </c>
      <c r="C282" s="25" t="s">
        <v>148</v>
      </c>
    </row>
    <row r="283" spans="1:3" x14ac:dyDescent="0.3">
      <c r="A283">
        <v>13</v>
      </c>
      <c r="B283" s="24" t="s">
        <v>150</v>
      </c>
      <c r="C283" s="26" t="s">
        <v>139</v>
      </c>
    </row>
    <row r="284" spans="1:3" x14ac:dyDescent="0.3">
      <c r="A284">
        <v>14</v>
      </c>
      <c r="B284" s="24" t="s">
        <v>151</v>
      </c>
      <c r="C284" s="26" t="s">
        <v>140</v>
      </c>
    </row>
    <row r="285" spans="1:3" x14ac:dyDescent="0.3">
      <c r="B285" s="24"/>
      <c r="C285" s="26"/>
    </row>
    <row r="286" spans="1:3" s="78" customFormat="1" x14ac:dyDescent="0.3">
      <c r="B286" s="77" t="s">
        <v>2</v>
      </c>
      <c r="C286" s="77" t="s">
        <v>133</v>
      </c>
    </row>
    <row r="287" spans="1:3" x14ac:dyDescent="0.3">
      <c r="A287">
        <v>1</v>
      </c>
      <c r="B287" t="s">
        <v>152</v>
      </c>
      <c r="C287" t="s">
        <v>297</v>
      </c>
    </row>
    <row r="288" spans="1:3" x14ac:dyDescent="0.3">
      <c r="A288">
        <v>2</v>
      </c>
      <c r="B288" s="27" t="s">
        <v>2</v>
      </c>
      <c r="C288" s="27" t="s">
        <v>133</v>
      </c>
    </row>
    <row r="289" spans="1:3" x14ac:dyDescent="0.3">
      <c r="A289">
        <v>3</v>
      </c>
      <c r="B289" s="2" t="s">
        <v>1</v>
      </c>
      <c r="C289" s="2" t="s">
        <v>296</v>
      </c>
    </row>
    <row r="290" spans="1:3" x14ac:dyDescent="0.3">
      <c r="A290">
        <v>4</v>
      </c>
      <c r="B290" s="2"/>
      <c r="C290" s="2"/>
    </row>
    <row r="291" spans="1:3" x14ac:dyDescent="0.3">
      <c r="A291">
        <v>5</v>
      </c>
      <c r="B291" s="4" t="s">
        <v>136</v>
      </c>
      <c r="C291" s="4" t="s">
        <v>135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HOME</vt:lpstr>
      <vt:lpstr>BS CONS</vt:lpstr>
      <vt:lpstr>P&amp;L CONS</vt:lpstr>
      <vt:lpstr>CF CONS</vt:lpstr>
      <vt:lpstr>BS</vt:lpstr>
      <vt:lpstr>P&amp;L</vt:lpstr>
      <vt:lpstr>CF</vt:lpstr>
      <vt:lpstr>CLAIMS</vt:lpstr>
      <vt:lpstr>Hide</vt:lpstr>
      <vt:lpstr>BS_Cons</vt:lpstr>
      <vt:lpstr>Chosen</vt:lpstr>
      <vt:lpstr>Language</vt:lpstr>
      <vt:lpstr>ToC_Headings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Perzak</dc:creator>
  <cp:lastModifiedBy>Monika Wnuk</cp:lastModifiedBy>
  <dcterms:created xsi:type="dcterms:W3CDTF">2017-06-27T14:11:05Z</dcterms:created>
  <dcterms:modified xsi:type="dcterms:W3CDTF">2021-11-14T14:32:31Z</dcterms:modified>
</cp:coreProperties>
</file>