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en_skoroszyt"/>
  <bookViews>
    <workbookView xWindow="65428" yWindow="65428" windowWidth="23256" windowHeight="12576" tabRatio="601" activeTab="0"/>
  </bookViews>
  <sheets>
    <sheet name="HOME" sheetId="26" r:id="rId1"/>
    <sheet name="BS CONS" sheetId="10" r:id="rId2"/>
    <sheet name="P&amp;L CONS" sheetId="9" r:id="rId3"/>
    <sheet name="CF CONS" sheetId="11" r:id="rId4"/>
    <sheet name="P&amp;L" sheetId="19" r:id="rId5"/>
    <sheet name="BS" sheetId="20" r:id="rId6"/>
    <sheet name="CF" sheetId="21" r:id="rId7"/>
    <sheet name="CLAIMS" sheetId="16" r:id="rId8"/>
    <sheet name="Hide" sheetId="28" state="hidden" r:id="rId9"/>
  </sheet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<sst xmlns="http://schemas.openxmlformats.org/spreadsheetml/2006/main" count="652" uniqueCount="379">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</sst>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4" fillId="0" borderId="0" applyNumberFormat="0" applyBorder="0" applyAlignment="0">
      <protection/>
    </xf>
    <xf numFmtId="9" fontId="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22" applyNumberFormat="1" applyFont="1"/>
    <xf numFmtId="3" fontId="6" fillId="0" borderId="0" xfId="22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 quotePrefix="1">
      <alignment horizontal="right"/>
    </xf>
    <xf numFmtId="49" fontId="5" fillId="3" borderId="0" xfId="0" applyNumberFormat="1" applyFont="1" applyFill="1" applyAlignment="1" quotePrefix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24" applyFont="1"/>
    <xf numFmtId="17" fontId="14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9" fontId="28" fillId="0" borderId="0" xfId="24" applyFont="1"/>
    <xf numFmtId="9" fontId="13" fillId="0" borderId="0" xfId="24" applyFont="1" applyAlignment="1">
      <alignment horizontal="right"/>
    </xf>
    <xf numFmtId="9" fontId="13" fillId="0" borderId="0" xfId="24" applyFont="1"/>
    <xf numFmtId="9" fontId="14" fillId="0" borderId="0" xfId="24" applyFont="1"/>
    <xf numFmtId="3" fontId="5" fillId="0" borderId="0" xfId="0" applyNumberFormat="1" applyFont="1"/>
    <xf numFmtId="0" fontId="5" fillId="5" borderId="0" xfId="0" applyFont="1" applyFill="1"/>
    <xf numFmtId="17" fontId="29" fillId="0" borderId="0" xfId="0" applyNumberFormat="1" applyFont="1" applyAlignment="1">
      <alignment horizontal="center"/>
    </xf>
    <xf numFmtId="167" fontId="21" fillId="6" borderId="0" xfId="0" applyNumberFormat="1" applyFont="1" applyFill="1" applyAlignment="1" applyProtection="1">
      <alignment horizontal="right" vertical="center" wrapText="1"/>
      <protection locked="0"/>
    </xf>
    <xf numFmtId="167" fontId="21" fillId="6" borderId="0" xfId="0" applyNumberFormat="1" applyFont="1" applyFill="1" applyAlignment="1" applyProtection="1">
      <alignment horizontal="right" vertical="center" wrapText="1"/>
      <protection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16" xfId="21"/>
    <cellStyle name="Dziesiętny" xfId="22"/>
    <cellStyle name="Normalny 2" xfId="23"/>
    <cellStyle name="Procentowy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123825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tabSelected="1" workbookViewId="0" topLeftCell="A1">
      <selection activeCell="D15" sqref="D15"/>
    </sheetView>
  </sheetViews>
  <sheetFormatPr defaultColWidth="11.421875" defaultRowHeight="15"/>
  <cols>
    <col min="1" max="1" width="59.28125" style="80" customWidth="1"/>
    <col min="2" max="2" width="9.28125" style="80" bestFit="1" customWidth="1"/>
    <col min="3" max="16384" width="11.421875" style="80" customWidth="1"/>
  </cols>
  <sheetData>
    <row r="1" ht="15.75"/>
    <row r="2" ht="22.95" customHeight="1"/>
    <row r="3" ht="22.95" customHeight="1"/>
    <row r="4" spans="1:2" ht="22.95" customHeight="1" thickBot="1">
      <c r="A4" s="117" t="s">
        <v>298</v>
      </c>
      <c r="B4" s="117"/>
    </row>
    <row r="5" spans="1:2" ht="22.95" customHeight="1" thickBot="1">
      <c r="A5" s="115" t="s">
        <v>297</v>
      </c>
      <c r="B5" s="116"/>
    </row>
    <row r="7" ht="22.2" customHeight="1">
      <c r="A7" s="83" t="str">
        <f>HLOOKUP(Chosen,[0]!ToC_Headings,2,FALSE)</f>
        <v>SPIS TREŚCI</v>
      </c>
    </row>
    <row r="8" spans="1:2" ht="15">
      <c r="A8" s="91" t="str">
        <f>HLOOKUP(Chosen,[0]!ToC_Headings,3,FALSE)</f>
        <v xml:space="preserve">Uwaga: Skonsolidowane wyniki finansowe są sporządzane od I kw. 2016 r. </v>
      </c>
      <c r="B8" s="81"/>
    </row>
    <row r="9" spans="1:2" ht="24" customHeight="1">
      <c r="A9" s="80" t="str">
        <f>HLOOKUP(Chosen,[0]!ToC_Headings,4,FALSE)</f>
        <v>Skonsolidowane sprawozdanie z całkowitych dochodów</v>
      </c>
      <c r="B9" s="84" t="s">
        <v>155</v>
      </c>
    </row>
    <row r="10" spans="1:2" ht="15">
      <c r="A10" s="80" t="str">
        <f>HLOOKUP($A$5,[0]!ToC_Headings,5,FALSE)</f>
        <v>Skonsolidowane sprawozdanie z sytuacji finansowej</v>
      </c>
      <c r="B10" s="84" t="s">
        <v>156</v>
      </c>
    </row>
    <row r="11" spans="1:2" ht="15">
      <c r="A11" s="80" t="str">
        <f>HLOOKUP($A$5,[0]!ToC_Headings,6,FALSE)</f>
        <v>Skonsolidowane sprawozdanie z przepływów pieniężnych</v>
      </c>
      <c r="B11" s="84" t="s">
        <v>157</v>
      </c>
    </row>
    <row r="12" ht="15">
      <c r="B12" s="84"/>
    </row>
    <row r="13" spans="1:2" ht="15">
      <c r="A13" s="80" t="str">
        <f>HLOOKUP($A$5,[0]!ToC_Headings,8,FALSE)</f>
        <v>Jednostkowe sprawozdanie z całkowitych dochodów</v>
      </c>
      <c r="B13" s="84" t="s">
        <v>158</v>
      </c>
    </row>
    <row r="14" spans="1:2" ht="15">
      <c r="A14" s="80" t="str">
        <f>HLOOKUP($A$5,[0]!ToC_Headings,9,FALSE)</f>
        <v>Jednostkowe sprawozdanie z sytuacji finansowej</v>
      </c>
      <c r="B14" s="84" t="s">
        <v>159</v>
      </c>
    </row>
    <row r="15" spans="1:2" ht="15">
      <c r="A15" s="80" t="str">
        <f>HLOOKUP($A$5,[0]!ToC_Headings,10,FALSE)</f>
        <v>Jednostkowe sprawozdanie z przepływów pieniężnych</v>
      </c>
      <c r="B15" s="84" t="s">
        <v>160</v>
      </c>
    </row>
    <row r="16" ht="15">
      <c r="B16" s="84"/>
    </row>
    <row r="17" spans="1:2" ht="15">
      <c r="A17" s="80" t="str">
        <f>HLOOKUP($A$5,[0]!ToC_Headings,14,FALSE)</f>
        <v xml:space="preserve">Liczba złożonych wniosków o płatność od ubezpieczycieli </v>
      </c>
      <c r="B17" s="84" t="s">
        <v>1</v>
      </c>
    </row>
    <row r="18" spans="1:2" ht="15">
      <c r="A18" s="82"/>
      <c r="B18" s="87"/>
    </row>
    <row r="19" ht="15">
      <c r="B19" s="85"/>
    </row>
    <row r="20" ht="15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V44"/>
  <sheetViews>
    <sheetView showGridLines="0" workbookViewId="0" topLeftCell="A1">
      <pane xSplit="1" ySplit="2" topLeftCell="G3" activePane="bottomRight" state="frozen"/>
      <selection pane="topRight" activeCell="A1" sqref="A1"/>
      <selection pane="bottomLeft" activeCell="A1" sqref="A1"/>
      <selection pane="bottomRight" activeCell="O36" sqref="O36"/>
    </sheetView>
  </sheetViews>
  <sheetFormatPr defaultColWidth="9.140625" defaultRowHeight="15"/>
  <cols>
    <col min="1" max="1" width="47.421875" style="2" customWidth="1"/>
    <col min="2" max="15" width="14.00390625" style="2" customWidth="1"/>
    <col min="16" max="16384" width="9.140625" style="2" customWidth="1"/>
  </cols>
  <sheetData>
    <row r="1" ht="15">
      <c r="A1" s="76" t="str">
        <f>HLOOKUP(Chosen,Hide!$A$9:$C$11,2,FALSE)</f>
        <v>SPIS TREŚCI</v>
      </c>
    </row>
    <row r="2" spans="1:15" s="32" customFormat="1" ht="15">
      <c r="A2" s="90" t="str">
        <f>HLOOKUP(Chosen,Hide!$A$64:$C$99,36,FALSE)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</row>
    <row r="3" spans="1:48" ht="15">
      <c r="A3" s="43" t="str">
        <f>HLOOKUP(Chosen,[0]!BS_Cons,Hide!A65,FALSE)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>
        <v>223653.5059286154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5">
      <c r="A4" s="43" t="str">
        <f>HLOOKUP(Chosen,[0]!BS_Cons,Hide!A66,FALSE)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>
        <v>22369.668759103344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5">
      <c r="A5" s="43" t="str">
        <f>HLOOKUP(Chosen,[0]!BS_Cons,Hide!A67,FALSE)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>
        <v>0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5">
      <c r="A6" s="43" t="str">
        <f>HLOOKUP(Chosen,[0]!BS_Cons,Hide!A68,FALSE)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>
        <v>19042.26541672999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">
      <c r="A7" s="43" t="str">
        <f>HLOOKUP(Chosen,[0]!BS_Cons,Hide!A69,FALSE)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>
        <v>5145.1531599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ht="15">
      <c r="A8" s="44" t="str">
        <f>HLOOKUP(Chosen,[0]!BS_Cons,Hide!A70,FALSE)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>
      <c r="A9" s="43" t="str">
        <f>HLOOKUP(Chosen,[0]!BS_Cons,Hide!A71,FALSE)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5">
      <c r="A10" s="43" t="str">
        <f>HLOOKUP(Chosen,[0]!BS_Cons,Hide!A72,FALSE)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5">
      <c r="A11" s="43" t="str">
        <f>HLOOKUP(Chosen,[0]!BS_Cons,Hide!A73,FALSE)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5">
      <c r="A12" s="43" t="str">
        <f>HLOOKUP(Chosen,[0]!BS_Cons,Hide!A74,FALSE)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ht="15">
      <c r="A13" s="44" t="str">
        <f>HLOOKUP(Chosen,[0]!BS_Cons,Hide!A75,FALSE)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</v>
      </c>
      <c r="M13" s="8">
        <v>88912.310869331</v>
      </c>
      <c r="N13" s="8">
        <v>94539.37899846151</v>
      </c>
      <c r="O13" s="8">
        <v>43173.357539659744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ht="15">
      <c r="A14" s="45" t="str">
        <f>HLOOKUP(Chosen,[0]!BS_Cons,Hide!A76,FALSE)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5">
      <c r="A15" s="43" t="str">
        <f>HLOOKUP(Chosen,[0]!BS_Cons,Hide!A77,FALSE)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5">
      <c r="A16" s="43" t="str">
        <f>HLOOKUP(Chosen,[0]!BS_Cons,Hide!A78,FALSE)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5">
      <c r="A17" s="43" t="str">
        <f>HLOOKUP(Chosen,[0]!BS_Cons,Hide!A79,FALSE)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5">
      <c r="A18" s="43" t="str">
        <f>HLOOKUP(Chosen,[0]!BS_Cons,Hide!A80,FALSE)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</v>
      </c>
      <c r="I18" s="7">
        <v>58434</v>
      </c>
      <c r="J18" s="7">
        <v>62534</v>
      </c>
      <c r="K18" s="7">
        <v>59847.55212227663</v>
      </c>
      <c r="L18" s="7">
        <v>61694.685189883356</v>
      </c>
      <c r="M18" s="7">
        <v>72031.9302961186</v>
      </c>
      <c r="N18" s="7">
        <v>76498.92402269527</v>
      </c>
      <c r="O18" s="7">
        <v>77901.90606782874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5">
      <c r="A19" s="43" t="str">
        <f>HLOOKUP(Chosen,[0]!BS_Cons,Hide!A81,FALSE)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-7896.680713666445</v>
      </c>
      <c r="L19" s="7">
        <v>-11060.02612873363</v>
      </c>
      <c r="M19" s="7">
        <v>-7150.746326524556</v>
      </c>
      <c r="N19" s="7">
        <v>-3532.9819182376627</v>
      </c>
      <c r="O19" s="7">
        <v>-8399.544564938622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s="6" customFormat="1" ht="15">
      <c r="A20" s="44" t="str">
        <f>HLOOKUP(Chosen,[0]!BS_Cons,Hide!A82,FALSE)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</v>
      </c>
      <c r="O20" s="8">
        <v>194485.2846248981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6" customFormat="1" ht="15">
      <c r="A21" s="44" t="str">
        <f>HLOOKUP(Chosen,[0]!BS_Cons,Hide!A83,FALSE)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39040.30856755155</v>
      </c>
      <c r="I21" s="8">
        <v>34820</v>
      </c>
      <c r="J21" s="8">
        <v>34062</v>
      </c>
      <c r="K21" s="8">
        <v>38086.54601243476</v>
      </c>
      <c r="L21" s="8">
        <v>37952.86423044423</v>
      </c>
      <c r="M21" s="8">
        <v>40897.50856083114</v>
      </c>
      <c r="N21" s="8">
        <v>42188.58928197095</v>
      </c>
      <c r="O21" s="8">
        <v>32504.973294913165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">
      <c r="A22" s="43" t="str">
        <f>HLOOKUP(Chosen,[0]!BS_Cons,Hide!A84,FALSE)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</v>
      </c>
      <c r="M22" s="7">
        <v>1789.575797732</v>
      </c>
      <c r="N22" s="7">
        <v>2101.247187</v>
      </c>
      <c r="O22" s="7">
        <v>2234.9895467999995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5">
      <c r="A23" s="43" t="str">
        <f>HLOOKUP(Chosen,[0]!BS_Cons,Hide!A85,FALSE)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5">
      <c r="A24" s="43" t="str">
        <f>HLOOKUP(Chosen,[0]!BS_Cons,Hide!A86,FALSE)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200.01993</v>
      </c>
      <c r="O24" s="7">
        <v>8099.570635714286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5">
      <c r="A25" s="43" t="str">
        <f>HLOOKUP(Chosen,[0]!BS_Cons,Hide!A87,FALSE)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7447.755744000003</v>
      </c>
      <c r="L25" s="7">
        <v>7311.293124400006</v>
      </c>
      <c r="M25" s="7">
        <v>7478.986989199998</v>
      </c>
      <c r="N25" s="7">
        <v>19428.764784845032</v>
      </c>
      <c r="O25" s="7">
        <v>17728.377248741992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5">
      <c r="A26" s="59" t="str">
        <f>HLOOKUP(Chosen,Hide!$A$64:$C$98,35,FALSE)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5">
      <c r="A27" s="43" t="str">
        <f>HLOOKUP(Chosen,[0]!BS_Cons,Hide!A88,FALSE)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239.3945</v>
      </c>
      <c r="L27" s="7">
        <v>287.37938</v>
      </c>
      <c r="M27" s="7">
        <v>385.88148000000007</v>
      </c>
      <c r="N27" s="7">
        <v>517.72914</v>
      </c>
      <c r="O27" s="7">
        <v>686.75741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s="6" customFormat="1" ht="15">
      <c r="A28" s="44" t="str">
        <f>HLOOKUP(Chosen,[0]!BS_Cons,Hide!A89,FALSE)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">
      <c r="A29" s="43" t="str">
        <f>HLOOKUP(Chosen,[0]!BS_Cons,Hide!A90,FALSE)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</v>
      </c>
      <c r="I29" s="7">
        <v>873</v>
      </c>
      <c r="J29" s="7">
        <v>8</v>
      </c>
      <c r="K29" s="7">
        <v>28.48427</v>
      </c>
      <c r="L29" s="7">
        <v>103.24953117647057</v>
      </c>
      <c r="M29" s="7">
        <v>111.47877500000003</v>
      </c>
      <c r="N29" s="7">
        <v>114.63051000000002</v>
      </c>
      <c r="O29" s="7">
        <v>9587.648774285713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5">
      <c r="A30" s="43" t="str">
        <f>HLOOKUP(Chosen,[0]!BS_Cons,Hide!A91,FALSE)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</v>
      </c>
      <c r="I30" s="7">
        <v>7887</v>
      </c>
      <c r="J30" s="7">
        <v>7814</v>
      </c>
      <c r="K30" s="7">
        <v>57959.4869612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5">
      <c r="A31" s="43" t="str">
        <f>HLOOKUP(Chosen,[0]!BS_Cons,Hide!A92,FALSE)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</v>
      </c>
      <c r="I31" s="7">
        <v>7522</v>
      </c>
      <c r="J31" s="7">
        <v>6772</v>
      </c>
      <c r="K31" s="7">
        <v>16045.164867600004</v>
      </c>
      <c r="L31" s="7">
        <v>9333.799847908</v>
      </c>
      <c r="M31" s="7">
        <v>10717.473219618856</v>
      </c>
      <c r="N31" s="7">
        <v>11218.370847350378</v>
      </c>
      <c r="O31" s="7">
        <v>8533.46103750906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">
      <c r="A32" s="43" t="str">
        <f>HLOOKUP(Chosen,[0]!BS_Cons,Hide!A93,FALSE)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</v>
      </c>
      <c r="L32" s="7">
        <v>37.268556</v>
      </c>
      <c r="M32" s="7">
        <v>263.9060939</v>
      </c>
      <c r="N32" s="7">
        <v>287.064687692</v>
      </c>
      <c r="O32" s="7">
        <v>158.72431521685795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s="6" customFormat="1" ht="15">
      <c r="A33" s="43" t="str">
        <f>HLOOKUP(Chosen,[0]!BS_Cons,Hide!A94,FALSE)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757.3124200000001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2572.368044161</v>
      </c>
      <c r="N33" s="7">
        <v>2222.4840604250003</v>
      </c>
      <c r="O33" s="7">
        <v>2919.342656776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5">
      <c r="A34" s="44" t="str">
        <f>HLOOKUP(Chosen,[0]!BS_Cons,Hide!A95,FALSE)</f>
        <v>Zobowiązania krótkoterminowe</v>
      </c>
      <c r="B34" s="8">
        <v>67328</v>
      </c>
      <c r="C34" s="8">
        <v>21480.99999999999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75230.47407832</v>
      </c>
      <c r="L34" s="8">
        <v>69982.70203463847</v>
      </c>
      <c r="M34" s="8">
        <v>72063.45579897986</v>
      </c>
      <c r="N34" s="8">
        <v>85728.21444160044</v>
      </c>
      <c r="O34" s="8">
        <v>33534.68634548426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5">
      <c r="A35" s="44" t="str">
        <f>HLOOKUP(Chosen,[0]!BS_Cons,Hide!A96,FALSE)</f>
        <v>Zobowiązania razem</v>
      </c>
      <c r="B35" s="8">
        <v>91832</v>
      </c>
      <c r="C35" s="8">
        <v>98860.99999999999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</v>
      </c>
      <c r="I35" s="8">
        <v>85548</v>
      </c>
      <c r="J35" s="8">
        <v>77579</v>
      </c>
      <c r="K35" s="8">
        <v>87856.13010178579</v>
      </c>
      <c r="L35" s="8">
        <v>82717.1930989953</v>
      </c>
      <c r="M35" s="8">
        <v>85319.97607754928</v>
      </c>
      <c r="N35" s="8">
        <v>111540.80790425566</v>
      </c>
      <c r="O35" s="8">
        <v>65969.66582944345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8" customFormat="1" ht="15">
      <c r="A36" s="45" t="str">
        <f>HLOOKUP(Chosen,[0]!BS_Cons,Hide!A97,FALSE)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303826.5895108512</v>
      </c>
      <c r="M36" s="17">
        <v>316081.59173076553</v>
      </c>
      <c r="N36" s="17">
        <v>351678.51241577923</v>
      </c>
      <c r="O36" s="17">
        <v>292960.1737492547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2:48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3:48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X56"/>
  <sheetViews>
    <sheetView showGridLines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U38" sqref="U38"/>
    </sheetView>
  </sheetViews>
  <sheetFormatPr defaultColWidth="9.140625" defaultRowHeight="15" outlineLevelCol="1"/>
  <cols>
    <col min="1" max="1" width="50.7109375" style="2" customWidth="1"/>
    <col min="2" max="5" width="11.421875" style="2" hidden="1" customWidth="1" outlineLevel="1"/>
    <col min="6" max="6" width="11.421875" style="2" customWidth="1" collapsed="1"/>
    <col min="7" max="7" width="2.7109375" style="2" customWidth="1"/>
    <col min="8" max="11" width="11.421875" style="2" hidden="1" customWidth="1" outlineLevel="1"/>
    <col min="12" max="12" width="11.421875" style="2" customWidth="1" collapsed="1"/>
    <col min="13" max="13" width="2.7109375" style="2" customWidth="1"/>
    <col min="14" max="17" width="11.421875" style="2" hidden="1" customWidth="1" outlineLevel="1"/>
    <col min="18" max="18" width="11.421875" style="2" customWidth="1" collapsed="1"/>
    <col min="19" max="19" width="3.28125" style="2" customWidth="1"/>
    <col min="20" max="20" width="9.140625" style="2" customWidth="1"/>
    <col min="21" max="24" width="9.140625" style="2" customWidth="1" outlineLevel="1"/>
    <col min="25" max="16384" width="9.140625" style="2" customWidth="1"/>
  </cols>
  <sheetData>
    <row r="1" ht="15">
      <c r="A1" s="76" t="str">
        <f>HLOOKUP(Chosen,Hide!$A$9:$C$11,2,FALSE)</f>
        <v>SPIS TREŚCI</v>
      </c>
    </row>
    <row r="2" spans="1:24" s="32" customFormat="1" ht="15">
      <c r="A2" s="90" t="str">
        <f>HLOOKUP(Chosen,Hide!$A$64:$C$99,36,FALSE)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</row>
    <row r="3" spans="1:21" s="6" customFormat="1" ht="15">
      <c r="A3" s="36" t="str">
        <f>HLOOKUP(Chosen,Hide!$A$25:$C$48,2,FALSE)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50301.64270027864</v>
      </c>
      <c r="K3" s="5">
        <v>50510.35729972136</v>
      </c>
      <c r="L3" s="5">
        <v>203354</v>
      </c>
      <c r="N3" s="5">
        <v>44491</v>
      </c>
      <c r="O3" s="5">
        <v>49217.97856506524</v>
      </c>
      <c r="P3" s="5">
        <v>48770.13495580775</v>
      </c>
      <c r="Q3" s="5">
        <v>56924.64885271556</v>
      </c>
      <c r="R3" s="5">
        <v>199403.76237358857</v>
      </c>
      <c r="T3" s="5">
        <v>48696.140405213664</v>
      </c>
      <c r="U3" s="5">
        <v>45401.38159863585</v>
      </c>
    </row>
    <row r="4" spans="1:21" ht="15">
      <c r="A4" s="37" t="str">
        <f>HLOOKUP(Chosen,Hide!$A$25:$C$48,3,FALSE)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</v>
      </c>
      <c r="R4" s="7">
        <v>-9085.121432398022</v>
      </c>
      <c r="T4" s="7">
        <v>-3056.327723984348</v>
      </c>
      <c r="U4" s="7">
        <v>-1529.8164489208143</v>
      </c>
    </row>
    <row r="5" spans="1:21" ht="15">
      <c r="A5" s="37" t="str">
        <f>HLOOKUP(Chosen,Hide!$A$25:$C$48,4,FALSE)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-24985.31965771167</v>
      </c>
    </row>
    <row r="6" spans="1:21" ht="15">
      <c r="A6" s="37" t="str">
        <f>HLOOKUP(Chosen,Hide!$A$25:$C$48,5,FALSE)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-2996.595251403751</v>
      </c>
      <c r="K6" s="7">
        <v>-2834.404748596249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</v>
      </c>
      <c r="R6" s="7">
        <v>-11578.613261681001</v>
      </c>
      <c r="T6" s="7">
        <v>-4186.641685662858</v>
      </c>
      <c r="U6" s="7">
        <v>-4413.240450544967</v>
      </c>
    </row>
    <row r="7" spans="1:21" ht="15">
      <c r="A7" s="37" t="str">
        <f>HLOOKUP(Chosen,Hide!$A$25:$C$48,6,FALSE)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-8174.65283644301</v>
      </c>
      <c r="P7" s="7">
        <v>-9365.466974844992</v>
      </c>
      <c r="Q7" s="7">
        <v>-9608.895095128588</v>
      </c>
      <c r="R7" s="7">
        <v>-33831.01490641659</v>
      </c>
      <c r="T7" s="7">
        <v>-9081.697374069034</v>
      </c>
      <c r="U7" s="7">
        <v>-10755.646042721695</v>
      </c>
    </row>
    <row r="8" spans="1:21" ht="15">
      <c r="A8" s="38" t="str">
        <f>HLOOKUP(Chosen,Hide!$A$25:$C$48,7,FALSE)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-2249.43050869284</v>
      </c>
      <c r="P8" s="7">
        <v>-1218.5106655151596</v>
      </c>
      <c r="Q8" s="7">
        <v>-1668.840977835751</v>
      </c>
      <c r="R8" s="7">
        <v>-6210.78215204375</v>
      </c>
      <c r="T8" s="7">
        <v>-1888.1250576832836</v>
      </c>
      <c r="U8" s="7">
        <v>-2249.397018206353</v>
      </c>
    </row>
    <row r="9" spans="1:21" s="6" customFormat="1" ht="15">
      <c r="A9" s="39" t="str">
        <f>HLOOKUP(Chosen,Hide!$A$25:$C$48,8,FALSE)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-36401.53308788899</v>
      </c>
      <c r="K9" s="8">
        <v>-39665.466912111006</v>
      </c>
      <c r="L9" s="8">
        <v>-161049</v>
      </c>
      <c r="N9" s="8">
        <v>-37185</v>
      </c>
      <c r="O9" s="8">
        <v>-43671.82804636475</v>
      </c>
      <c r="P9" s="8">
        <v>-45106.49469016687</v>
      </c>
      <c r="Q9" s="8">
        <v>-45292.2486614141</v>
      </c>
      <c r="R9" s="8">
        <v>-171254.57139794572</v>
      </c>
      <c r="T9" s="8">
        <v>-43030.18846738819</v>
      </c>
      <c r="U9" s="8">
        <v>-43933.4196181055</v>
      </c>
    </row>
    <row r="10" spans="1:21" s="6" customFormat="1" ht="15">
      <c r="A10" s="36" t="str">
        <f>HLOOKUP(Chosen,Hide!$A$25:$C$48,9,FALSE)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5546.150518700488</v>
      </c>
      <c r="P10" s="8">
        <v>3663.6402656408754</v>
      </c>
      <c r="Q10" s="8">
        <v>11633.400191301487</v>
      </c>
      <c r="R10" s="8">
        <v>28149.19097564285</v>
      </c>
      <c r="T10" s="8">
        <v>5665.951937825477</v>
      </c>
      <c r="U10" s="8">
        <v>1467.9619805303519</v>
      </c>
    </row>
    <row r="11" spans="1:21" ht="15">
      <c r="A11" s="40" t="str">
        <f>HLOOKUP(Chosen,Hide!$A$25:$C$48,10,FALSE)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78.49439000000007</v>
      </c>
      <c r="L11" s="7">
        <v>748</v>
      </c>
      <c r="N11" s="7">
        <v>87</v>
      </c>
      <c r="O11" s="7">
        <v>79.12812</v>
      </c>
      <c r="P11" s="7">
        <v>88.78993000000003</v>
      </c>
      <c r="Q11" s="7">
        <v>93.40601453125001</v>
      </c>
      <c r="R11" s="7">
        <v>348.32406453125003</v>
      </c>
      <c r="T11" s="7">
        <v>662.8458996861697</v>
      </c>
      <c r="U11" s="7">
        <v>90.64364581908626</v>
      </c>
    </row>
    <row r="12" spans="1:21" ht="15">
      <c r="A12" s="40" t="str">
        <f>HLOOKUP(Chosen,Hide!$A$25:$C$48,11,FALSE)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-95.74174712922218</v>
      </c>
      <c r="K12" s="7">
        <v>-960.2582528707778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-3773.473430064547</v>
      </c>
      <c r="T12" s="7">
        <v>-70.14759476465001</v>
      </c>
      <c r="U12" s="7">
        <v>-203.01161973758997</v>
      </c>
    </row>
    <row r="13" spans="1:21" ht="15">
      <c r="A13" s="39" t="str">
        <f>HLOOKUP(Chosen,Hide!$A$25:$C$48,12,FALSE)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</v>
      </c>
      <c r="R13" s="8">
        <v>24724.041610109554</v>
      </c>
      <c r="T13" s="8">
        <v>6258.650242746997</v>
      </c>
      <c r="U13" s="8">
        <v>1355.5940066118483</v>
      </c>
    </row>
    <row r="14" spans="1:21" ht="15">
      <c r="A14" s="40" t="str">
        <f>HLOOKUP(Chosen,Hide!$A$25:$C$48,13,FALSE)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</v>
      </c>
      <c r="Q14" s="7">
        <v>122.23688862149038</v>
      </c>
      <c r="R14" s="7">
        <v>712.4005957755018</v>
      </c>
      <c r="T14" s="7">
        <v>153.18160869688307</v>
      </c>
      <c r="U14" s="7">
        <v>-86.21040740200341</v>
      </c>
    </row>
    <row r="15" spans="1:21" ht="15">
      <c r="A15" s="40" t="str">
        <f>HLOOKUP(Chosen,Hide!$A$25:$C$48,14,FALSE)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</v>
      </c>
      <c r="K15" s="7">
        <v>-1318.4225899117237</v>
      </c>
      <c r="L15" s="7">
        <v>-5842</v>
      </c>
      <c r="N15" s="7">
        <v>-1041</v>
      </c>
      <c r="O15" s="7">
        <v>-749.0966795850022</v>
      </c>
      <c r="P15" s="7">
        <v>-941.6462856489989</v>
      </c>
      <c r="Q15" s="7">
        <v>-1130.70754022275</v>
      </c>
      <c r="R15" s="7">
        <v>-3863.4505054567503</v>
      </c>
      <c r="T15" s="7">
        <v>-1012.5380608453077</v>
      </c>
      <c r="U15" s="7">
        <v>-857.5064756567598</v>
      </c>
    </row>
    <row r="16" spans="1:21" s="6" customFormat="1" ht="15">
      <c r="A16" s="36" t="str">
        <f>HLOOKUP(Chosen,Hide!$A$25:$C$48,15,FALSE)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-1078.684535194444</v>
      </c>
      <c r="K16" s="8">
        <v>-1293.315464805556</v>
      </c>
      <c r="L16" s="8">
        <v>-5228</v>
      </c>
      <c r="N16" s="8">
        <v>-837</v>
      </c>
      <c r="O16" s="8">
        <v>-290.9099587006698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-943.7168830587632</v>
      </c>
    </row>
    <row r="17" spans="1:21" ht="15">
      <c r="A17" s="36" t="str">
        <f>HLOOKUP(Chosen,Hide!$A$25:$C$48,16,FALSE)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9387.67544447093</v>
      </c>
      <c r="R17" s="8">
        <v>21572.991700428305</v>
      </c>
      <c r="T17" s="8">
        <v>5399.143790598572</v>
      </c>
      <c r="U17" s="8">
        <v>411.8771235530851</v>
      </c>
    </row>
    <row r="18" spans="1:21" ht="15">
      <c r="A18" s="37" t="str">
        <f>HLOOKUP(Chosen,Hide!$A$25:$C$48,17,FALSE)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</v>
      </c>
      <c r="L18" s="9">
        <v>-2939</v>
      </c>
      <c r="N18" s="9">
        <v>-948</v>
      </c>
      <c r="O18" s="9">
        <v>-312.8784119267078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</row>
    <row r="19" spans="1:21" s="6" customFormat="1" ht="15">
      <c r="A19" s="36" t="str">
        <f>HLOOKUP(Chosen,Hide!$A$25:$C$48,18,FALSE)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</v>
      </c>
      <c r="R19" s="8">
        <v>18948.08821695277</v>
      </c>
      <c r="T19" s="8">
        <v>4907.240599874423</v>
      </c>
      <c r="U19" s="8">
        <v>620.7996868984487</v>
      </c>
    </row>
    <row r="20" spans="1:21" ht="28.8">
      <c r="A20" s="37" t="str">
        <f>HLOOKUP(Chosen,Hide!$A$25:$C$48,19,FALSE)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6033.79577269068</v>
      </c>
      <c r="R20" s="7">
        <v>14416.301389987986</v>
      </c>
      <c r="T20" s="7">
        <v>4467.490170024015</v>
      </c>
      <c r="U20" s="7">
        <v>1402.4252385690252</v>
      </c>
    </row>
    <row r="21" spans="1:21" ht="28.8">
      <c r="A21" s="37" t="str">
        <f>HLOOKUP(Chosen,Hide!$A$25:$C$48,20,FALSE)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2811.336894510776</v>
      </c>
      <c r="K21" s="7">
        <v>2005.663105489224</v>
      </c>
      <c r="L21" s="7">
        <v>8114</v>
      </c>
      <c r="N21" s="7">
        <v>1188</v>
      </c>
      <c r="O21" s="7">
        <v>732.544803656995</v>
      </c>
      <c r="P21" s="7">
        <v>574.9810406998495</v>
      </c>
      <c r="Q21" s="7">
        <v>2036.4609826078804</v>
      </c>
      <c r="R21" s="7">
        <v>4531.986826964725</v>
      </c>
      <c r="T21" s="7">
        <v>439.76042985040436</v>
      </c>
      <c r="U21" s="7">
        <v>-781.2755516705524</v>
      </c>
    </row>
    <row r="22" spans="1:21" s="6" customFormat="1" ht="15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</v>
      </c>
      <c r="T22" s="8">
        <v>4907.25059987442</v>
      </c>
      <c r="U22" s="8">
        <v>621.1496868984727</v>
      </c>
    </row>
    <row r="23" spans="1:20" s="6" customFormat="1" ht="15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</row>
    <row r="24" spans="1:20" s="6" customFormat="1" ht="15">
      <c r="A24" s="42" t="str">
        <f>HLOOKUP(Chosen,Hide!$A$25:$C$61,27,FALSE)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</row>
    <row r="25" spans="1:21" ht="15">
      <c r="A25" s="37" t="str">
        <f>HLOOKUP(Chosen,Hide!$A$25:$C$61,28,FALSE)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-2131.509085632151</v>
      </c>
      <c r="K25" s="7">
        <v>-6882.490914367849</v>
      </c>
      <c r="L25" s="7">
        <v>-24979</v>
      </c>
      <c r="M25" s="7"/>
      <c r="N25" s="7">
        <v>-2620</v>
      </c>
      <c r="O25" s="7">
        <v>13284.815636834726</v>
      </c>
      <c r="P25" s="7">
        <v>-2841.836984742554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</row>
    <row r="26" spans="1:21" ht="30" customHeight="1">
      <c r="A26" s="88" t="str">
        <f>HLOOKUP(Chosen,Hide!$A$25:$C$61,29,FALSE)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</v>
      </c>
      <c r="P26" s="7">
        <v>-1303.2227815000106</v>
      </c>
      <c r="Q26" s="7">
        <v>1623.2063155000105</v>
      </c>
      <c r="R26" s="7">
        <v>5263.713694</v>
      </c>
      <c r="T26" s="7">
        <v>1496.49437492</v>
      </c>
      <c r="U26" s="7">
        <v>-1873.99947492</v>
      </c>
    </row>
    <row r="27" spans="1:21" ht="30" customHeight="1">
      <c r="A27" s="37" t="str">
        <f>HLOOKUP(Chosen,Hide!$A$25:$C$61,30,FALSE)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548.0336406999998</v>
      </c>
      <c r="L27" s="7">
        <v>2345</v>
      </c>
      <c r="M27" s="7"/>
      <c r="N27" s="7">
        <v>238</v>
      </c>
      <c r="O27" s="7">
        <v>-1177.5087304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</row>
    <row r="28" spans="1:21" ht="15">
      <c r="A28" s="36" t="str">
        <f>HLOOKUP(Chosen,Hide!$A$25:$C$61,31,FALSE)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-9683.493773667848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</v>
      </c>
      <c r="R28" s="8">
        <v>15620.642907341862</v>
      </c>
      <c r="T28" s="8">
        <v>4459.34948272329</v>
      </c>
      <c r="U28" s="8">
        <v>-5986.695961376189</v>
      </c>
    </row>
    <row r="29" spans="1:21" ht="28.8">
      <c r="A29" s="37" t="str">
        <f>HLOOKUP(Chosen,Hide!$A$25:$C$61,32,FALSE)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</v>
      </c>
      <c r="K29" s="7">
        <v>-7809.342956010477</v>
      </c>
      <c r="L29" s="7">
        <v>-28525</v>
      </c>
      <c r="M29" s="7"/>
      <c r="N29" s="7">
        <v>-2965</v>
      </c>
      <c r="O29" s="7">
        <v>14884.000000000002</v>
      </c>
      <c r="P29" s="7">
        <v>-3163.085415067182</v>
      </c>
      <c r="Q29" s="7">
        <v>3909.339088542627</v>
      </c>
      <c r="R29" s="7">
        <v>12665.253673475447</v>
      </c>
      <c r="T29" s="7">
        <v>3617.7644082868974</v>
      </c>
      <c r="U29" s="7">
        <v>-4866.562646700958</v>
      </c>
    </row>
    <row r="30" spans="1:21" ht="28.8">
      <c r="A30" s="37" t="str">
        <f>HLOOKUP(Chosen,Hide!$A$25:$C$61,33,FALSE)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-734.2478226903768</v>
      </c>
      <c r="Q30" s="7">
        <v>939.8192764556266</v>
      </c>
      <c r="R30" s="7">
        <v>2955.53923386642</v>
      </c>
      <c r="T30" s="7">
        <v>841.4850744363915</v>
      </c>
      <c r="U30" s="7">
        <v>-1119.9333146752306</v>
      </c>
    </row>
    <row r="31" spans="1:21" ht="15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</row>
    <row r="32" spans="1:21" ht="15">
      <c r="A32" s="42" t="str">
        <f>HLOOKUP(Chosen,Hide!$A$25:$C$61,35,FALSE)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</row>
    <row r="33" spans="1:21" ht="28.8">
      <c r="A33" s="37" t="str">
        <f>HLOOKUP(Chosen,Hide!$A$25:$C$61,36,FALSE)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6045.29003820637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9944.034861233311</v>
      </c>
      <c r="R33" s="7">
        <v>27081.455063463436</v>
      </c>
      <c r="T33" s="7">
        <v>8085.394578310914</v>
      </c>
      <c r="U33" s="7">
        <v>-3465.277408131934</v>
      </c>
    </row>
    <row r="34" spans="1:21" ht="28.8">
      <c r="A34" s="37" t="str">
        <f>HLOOKUP(Chosen,Hide!$A$25:$C$61,37,FALSE)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</v>
      </c>
      <c r="K34" s="7">
        <v>131.50228783183684</v>
      </c>
      <c r="L34" s="7">
        <v>1196</v>
      </c>
      <c r="M34" s="7"/>
      <c r="N34" s="7">
        <v>523</v>
      </c>
      <c r="O34" s="7">
        <v>4147.512583758165</v>
      </c>
      <c r="P34" s="7">
        <v>-159.2667819905273</v>
      </c>
      <c r="Q34" s="7">
        <v>2976.3802590635078</v>
      </c>
      <c r="R34" s="7">
        <v>7487.626060831146</v>
      </c>
      <c r="T34" s="7">
        <v>1281.475504286796</v>
      </c>
      <c r="U34" s="7">
        <v>-1900.5888663457831</v>
      </c>
    </row>
    <row r="35" spans="1:21" ht="15">
      <c r="A35" s="42" t="str">
        <f>HLOOKUP(Chosen,Hide!$A$25:$C$61,35,FALSE)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8281.457750374519</v>
      </c>
      <c r="K35" s="8">
        <v>-331.4577503745186</v>
      </c>
      <c r="L35" s="8">
        <v>-1790</v>
      </c>
      <c r="M35" s="8"/>
      <c r="N35" s="8">
        <v>1658</v>
      </c>
      <c r="O35" s="8">
        <v>21466.52650938993</v>
      </c>
      <c r="P35" s="8">
        <v>-1475.4905053921655</v>
      </c>
      <c r="Q35" s="8">
        <v>12920.095120296803</v>
      </c>
      <c r="R35" s="8">
        <v>34569.13112429457</v>
      </c>
      <c r="T35" s="8">
        <v>9366.49008259771</v>
      </c>
      <c r="U35" s="8">
        <v>-5365.546274477716</v>
      </c>
    </row>
    <row r="36" spans="1:10" s="6" customFormat="1" ht="15">
      <c r="A36" s="2"/>
      <c r="B36" s="7"/>
      <c r="C36" s="7"/>
      <c r="D36" s="7"/>
      <c r="E36" s="7"/>
      <c r="F36" s="7"/>
      <c r="H36" s="7"/>
      <c r="I36" s="7"/>
      <c r="J36" s="7"/>
    </row>
    <row r="37" spans="1:21" s="6" customFormat="1" ht="28.8">
      <c r="A37" s="39" t="str">
        <f>HLOOKUP(Chosen,Hide!$A$25:$C$48,22,FALSE)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</row>
    <row r="38" spans="1:21" ht="15">
      <c r="A38" s="41" t="str">
        <f>HLOOKUP(Chosen,Hide!$A$25:$C$48,23,FALSE)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</v>
      </c>
      <c r="J38" s="10">
        <v>2.3437613202650107</v>
      </c>
      <c r="K38" s="10">
        <v>2.04</v>
      </c>
      <c r="L38" s="10">
        <v>7.08</v>
      </c>
      <c r="M38" s="10"/>
      <c r="N38" s="10">
        <v>1.14</v>
      </c>
      <c r="O38" s="10">
        <v>0.6750523774970233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</v>
      </c>
    </row>
    <row r="39" spans="1:21" s="6" customFormat="1" ht="15">
      <c r="A39" s="41" t="str">
        <f>HLOOKUP(Chosen,Hide!$A$25:$C$61,24,FALSE)</f>
        <v>- rozwodniony</v>
      </c>
      <c r="B39" s="10">
        <v>-1.7</v>
      </c>
      <c r="C39" s="10">
        <v>2.9</v>
      </c>
      <c r="D39" s="10">
        <v>1.1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1.14</v>
      </c>
      <c r="O39" s="10">
        <v>0.6750523774970233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</v>
      </c>
    </row>
    <row r="40" spans="2:10" ht="15">
      <c r="B40" s="7"/>
      <c r="C40" s="7"/>
      <c r="D40" s="7"/>
      <c r="E40" s="7"/>
      <c r="H40" s="7"/>
      <c r="I40" s="7"/>
      <c r="J40" s="7"/>
    </row>
    <row r="41" spans="2:10" ht="15">
      <c r="B41" s="7"/>
      <c r="C41" s="7"/>
      <c r="D41" s="7"/>
      <c r="E41" s="7"/>
      <c r="H41" s="7"/>
      <c r="I41" s="7"/>
      <c r="J41" s="7"/>
    </row>
    <row r="42" spans="1:20" ht="15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</row>
    <row r="43" spans="2:10" ht="15">
      <c r="B43" s="7"/>
      <c r="C43" s="7"/>
      <c r="D43" s="7"/>
      <c r="E43" s="7"/>
      <c r="H43" s="7"/>
      <c r="I43" s="7"/>
      <c r="J43" s="7"/>
    </row>
    <row r="44" spans="2:10" ht="15">
      <c r="B44" s="7"/>
      <c r="C44" s="7"/>
      <c r="D44" s="7"/>
      <c r="E44" s="7"/>
      <c r="H44" s="7"/>
      <c r="I44" s="7"/>
      <c r="J44" s="7"/>
    </row>
    <row r="45" spans="2:10" ht="15">
      <c r="B45" s="7"/>
      <c r="C45" s="7"/>
      <c r="D45" s="7"/>
      <c r="E45" s="7"/>
      <c r="H45" s="7"/>
      <c r="I45" s="7"/>
      <c r="J45" s="7"/>
    </row>
    <row r="46" spans="2:10" ht="15">
      <c r="B46" s="7"/>
      <c r="C46" s="7"/>
      <c r="D46" s="7"/>
      <c r="E46" s="7"/>
      <c r="H46" s="7"/>
      <c r="I46" s="7"/>
      <c r="J46" s="7"/>
    </row>
    <row r="47" spans="2:10" ht="15">
      <c r="B47" s="7"/>
      <c r="C47" s="7"/>
      <c r="D47" s="7"/>
      <c r="E47" s="7"/>
      <c r="H47" s="7"/>
      <c r="I47" s="7"/>
      <c r="J47" s="7"/>
    </row>
    <row r="48" spans="2:10" ht="15">
      <c r="B48" s="7"/>
      <c r="C48" s="7"/>
      <c r="D48" s="7"/>
      <c r="E48" s="7"/>
      <c r="H48" s="7"/>
      <c r="I48" s="7"/>
      <c r="J48" s="7"/>
    </row>
    <row r="49" spans="2:10" ht="15">
      <c r="B49" s="7"/>
      <c r="C49" s="7"/>
      <c r="D49" s="7"/>
      <c r="E49" s="7"/>
      <c r="H49" s="7"/>
      <c r="I49" s="7"/>
      <c r="J49" s="7"/>
    </row>
    <row r="50" spans="2:10" ht="15">
      <c r="B50" s="7"/>
      <c r="C50" s="7"/>
      <c r="D50" s="7"/>
      <c r="E50" s="7"/>
      <c r="H50" s="7"/>
      <c r="I50" s="7"/>
      <c r="J50" s="7"/>
    </row>
    <row r="51" spans="2:10" ht="15">
      <c r="B51" s="7"/>
      <c r="C51" s="7"/>
      <c r="D51" s="7"/>
      <c r="E51" s="7"/>
      <c r="H51" s="7"/>
      <c r="I51" s="7"/>
      <c r="J51" s="7"/>
    </row>
    <row r="52" spans="2:10" ht="15">
      <c r="B52" s="7"/>
      <c r="C52" s="7"/>
      <c r="D52" s="7"/>
      <c r="E52" s="7"/>
      <c r="H52" s="7"/>
      <c r="I52" s="7"/>
      <c r="J52" s="7"/>
    </row>
    <row r="53" spans="2:10" ht="15">
      <c r="B53" s="7"/>
      <c r="C53" s="7"/>
      <c r="D53" s="7"/>
      <c r="E53" s="7"/>
      <c r="H53" s="7"/>
      <c r="I53" s="7"/>
      <c r="J53" s="7"/>
    </row>
    <row r="54" spans="2:10" ht="15">
      <c r="B54" s="7"/>
      <c r="C54" s="7"/>
      <c r="D54" s="7"/>
      <c r="E54" s="7"/>
      <c r="H54" s="7"/>
      <c r="I54" s="7"/>
      <c r="J54" s="7"/>
    </row>
    <row r="55" spans="2:10" ht="15">
      <c r="B55" s="7"/>
      <c r="C55" s="7"/>
      <c r="D55" s="7"/>
      <c r="E55" s="7"/>
      <c r="H55" s="7"/>
      <c r="I55" s="7"/>
      <c r="J55" s="7"/>
    </row>
    <row r="56" spans="2:10" ht="15">
      <c r="B56" s="7"/>
      <c r="C56" s="7"/>
      <c r="D56" s="7"/>
      <c r="E56" s="7"/>
      <c r="H56" s="7"/>
      <c r="I56" s="7"/>
      <c r="J56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BB146"/>
  <sheetViews>
    <sheetView showGridLines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L51" sqref="L51"/>
    </sheetView>
  </sheetViews>
  <sheetFormatPr defaultColWidth="9.140625" defaultRowHeight="15"/>
  <cols>
    <col min="1" max="1" width="68.8515625" style="2" customWidth="1"/>
    <col min="2" max="10" width="11.421875" style="2" customWidth="1"/>
    <col min="11" max="16384" width="9.140625" style="2" customWidth="1"/>
  </cols>
  <sheetData>
    <row r="1" ht="15">
      <c r="A1" s="76" t="str">
        <f>HLOOKUP(Chosen,Hide!$A$9:$C$11,2,FALSE)</f>
        <v>SPIS TREŚCI</v>
      </c>
    </row>
    <row r="2" spans="1:14" s="32" customFormat="1" ht="15">
      <c r="A2" s="90" t="str">
        <f>HLOOKUP(Chosen,Hide!$A$64:$C$99,36,FALSE)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</row>
    <row r="3" spans="1:54" ht="15">
      <c r="A3" s="49" t="str">
        <f>HLOOKUP(Chosen,Hide!$A$101:$C$153,2,FALSE)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ht="15">
      <c r="A4" s="50" t="str">
        <f>HLOOKUP(Chosen,Hide!$A$101:$C$153,3,FALSE)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/>
      <c r="N4" s="5"/>
      <c r="O4" s="5"/>
      <c r="P4" s="5"/>
      <c r="Q4" s="5"/>
      <c r="R4" s="5"/>
      <c r="S4" s="5"/>
      <c r="T4" s="5"/>
      <c r="U4" s="5"/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">
      <c r="A5" s="51" t="str">
        <f>HLOOKUP(Chosen,Hide!$A$101:$C$153,4,FALSE)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/>
      <c r="N5" s="7"/>
      <c r="O5" s="7"/>
      <c r="P5" s="7"/>
      <c r="Q5" s="7"/>
      <c r="R5" s="7"/>
      <c r="S5" s="7"/>
      <c r="T5" s="7"/>
      <c r="U5" s="7"/>
      <c r="V5" s="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>
      <c r="A6" s="51" t="str">
        <f>HLOOKUP(Chosen,Hide!$A$101:$C$153,5,FALSE)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>
      <c r="A7" s="51" t="str">
        <f>HLOOKUP(Chosen,Hide!$A$101:$C$153,6,FALSE)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/>
      <c r="N7" s="7"/>
      <c r="O7" s="7"/>
      <c r="P7" s="7"/>
      <c r="Q7" s="7"/>
      <c r="R7" s="7"/>
      <c r="S7" s="7"/>
      <c r="T7" s="7"/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>
      <c r="A8" s="51" t="str">
        <f>HLOOKUP(Chosen,Hide!$A$101:$C$153,7,FALSE)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51" t="str">
        <f>HLOOKUP(Chosen,Hide!$A$101:$C$153,8,FALSE)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/>
      <c r="N9" s="7"/>
      <c r="O9" s="7"/>
      <c r="P9" s="7"/>
      <c r="Q9" s="7"/>
      <c r="R9" s="7"/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51" t="str">
        <f>HLOOKUP(Chosen,Hide!$A$101:$C$153,9,FALSE)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51" t="str">
        <f>HLOOKUP(Chosen,Hide!$A$101:$C$153,10,FALSE)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51" t="str">
        <f>HLOOKUP(Chosen,Hide!$A$101:$C$153,11,FALSE)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51" t="str">
        <f>HLOOKUP(Chosen,Hide!$A$101:$C$153,12,FALSE)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51" t="str">
        <f>HLOOKUP(Chosen,Hide!$A$101:$C$153,13,FALSE)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52" t="str">
        <f>HLOOKUP(Chosen,Hide!$A$101:$C$153,14,FALSE)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">
      <c r="A16" s="52" t="str">
        <f>HLOOKUP(Chosen,Hide!$A$101:$C$153,15,FALSE)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">
      <c r="A17" s="52" t="str">
        <f>HLOOKUP(Chosen,Hide!$A$101:$C$153,16,FALSE)</f>
        <v>(Zysk)/strata ze sprzedaży rzeczowych aktywów trwałych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">
      <c r="A18" s="51" t="str">
        <f>HLOOKUP(Chosen,Hide!$A$101:$C$153,17,FALSE)</f>
        <v>(Zysk)/strata ze sprzedaży inwestycji</v>
      </c>
      <c r="B18" s="7">
        <v>-215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5">
      <c r="A19" s="52" t="str">
        <f>HLOOKUP(Chosen,Hide!$A$101:$C$153,20,FALSE)</f>
        <v>(Przychody)/Koszty finansowe netto</v>
      </c>
      <c r="B19" s="7">
        <v>0</v>
      </c>
      <c r="C19" s="7">
        <v>0</v>
      </c>
      <c r="D19" s="7">
        <v>-98</v>
      </c>
      <c r="E19" s="7">
        <v>-2.0891099999997778</v>
      </c>
      <c r="F19" s="7">
        <v>82</v>
      </c>
      <c r="G19" s="7">
        <v>-177</v>
      </c>
      <c r="H19" s="7">
        <v>82.44845999999892</v>
      </c>
      <c r="I19" s="7">
        <v>50</v>
      </c>
      <c r="J19" s="7">
        <v>332.6775699999994</v>
      </c>
      <c r="K19" s="7">
        <v>22.21</v>
      </c>
      <c r="L19" s="7">
        <v>178.90125000000006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">
      <c r="A20" s="51" t="str">
        <f>HLOOKUP(Chosen,Hide!$A$101:$C$153,21,FALSE)</f>
        <v>Podatek zapłacony</v>
      </c>
      <c r="B20" s="7">
        <v>-3272</v>
      </c>
      <c r="C20" s="7">
        <v>-2234</v>
      </c>
      <c r="D20" s="7">
        <v>-2447</v>
      </c>
      <c r="E20" s="7">
        <v>-3261.6900000000005</v>
      </c>
      <c r="F20" s="7">
        <v>-3608</v>
      </c>
      <c r="G20" s="7">
        <v>-545</v>
      </c>
      <c r="H20" s="7">
        <v>-780.4497441666668</v>
      </c>
      <c r="I20" s="7">
        <v>-1323</v>
      </c>
      <c r="J20" s="7">
        <v>-1338.1111358</v>
      </c>
      <c r="K20" s="7">
        <v>-581.669</v>
      </c>
      <c r="L20" s="7">
        <v>-1008.0971999999999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">
      <c r="A21" s="51" t="str">
        <f>HLOOKUP(Chosen,Hide!$A$101:$C$153,19,FALSE)</f>
        <v>Różnice kursowe</v>
      </c>
      <c r="B21" s="7">
        <v>0</v>
      </c>
      <c r="C21" s="7">
        <v>3444</v>
      </c>
      <c r="D21" s="7">
        <v>-170</v>
      </c>
      <c r="E21" s="7">
        <v>-476.7326093989939</v>
      </c>
      <c r="F21" s="7">
        <v>-863</v>
      </c>
      <c r="G21" s="7">
        <v>-464</v>
      </c>
      <c r="H21" s="7">
        <v>1748.3676910075055</v>
      </c>
      <c r="I21" s="7">
        <v>1022</v>
      </c>
      <c r="J21" s="7">
        <v>2219.764502137249</v>
      </c>
      <c r="K21" s="7">
        <v>876.5507529999993</v>
      </c>
      <c r="L21" s="7">
        <v>-364.871789514066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">
      <c r="A22" s="51" t="str">
        <f>HLOOKUP(Chosen,Hide!$A$101:$C$154,54,FALSE)</f>
        <v>Odsetki</v>
      </c>
      <c r="B22" s="7">
        <v>3287</v>
      </c>
      <c r="C22" s="7">
        <v>0</v>
      </c>
      <c r="D22" s="7">
        <v>1926</v>
      </c>
      <c r="E22" s="7">
        <v>2834.4403423999997</v>
      </c>
      <c r="F22" s="7">
        <v>3940</v>
      </c>
      <c r="G22" s="7">
        <v>922</v>
      </c>
      <c r="H22" s="7">
        <v>1801.8657247550004</v>
      </c>
      <c r="I22" s="7">
        <v>2690</v>
      </c>
      <c r="J22" s="7">
        <v>3581.8128042</v>
      </c>
      <c r="K22" s="7">
        <v>983.6008783325603</v>
      </c>
      <c r="L22" s="7">
        <v>1431.6549435445631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5">
      <c r="A23" s="51" t="str">
        <f>HLOOKUP(Chosen,Hide!$A$101:$C$153,23,FALSE)</f>
        <v xml:space="preserve">Pozostałe </v>
      </c>
      <c r="B23" s="7">
        <v>-183</v>
      </c>
      <c r="C23" s="7">
        <v>240</v>
      </c>
      <c r="D23" s="7">
        <v>-209</v>
      </c>
      <c r="E23" s="7">
        <v>36.72</v>
      </c>
      <c r="F23" s="7">
        <v>140</v>
      </c>
      <c r="G23" s="7">
        <v>-3</v>
      </c>
      <c r="H23" s="7">
        <v>57</v>
      </c>
      <c r="I23" s="7">
        <v>79</v>
      </c>
      <c r="J23" s="7">
        <v>73.47520553009839</v>
      </c>
      <c r="K23" s="7">
        <v>-65.47929092451797</v>
      </c>
      <c r="L23" s="7">
        <v>14.91560907548207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6" customFormat="1" ht="15">
      <c r="A24" s="50"/>
      <c r="B24" s="8">
        <v>35477</v>
      </c>
      <c r="C24" s="8">
        <v>3112</v>
      </c>
      <c r="D24" s="8">
        <v>3279</v>
      </c>
      <c r="E24" s="8">
        <v>16947.863846723274</v>
      </c>
      <c r="F24" s="8">
        <v>28611</v>
      </c>
      <c r="G24" s="8">
        <v>4225</v>
      </c>
      <c r="H24" s="8">
        <v>21838.508408785357</v>
      </c>
      <c r="I24" s="8">
        <v>33110</v>
      </c>
      <c r="J24" s="8">
        <v>44231.67620689966</v>
      </c>
      <c r="K24" s="8">
        <v>9070.50015124359</v>
      </c>
      <c r="L24" s="8">
        <v>13916.098729543326</v>
      </c>
      <c r="M24" s="8"/>
      <c r="N24" s="8"/>
      <c r="O24" s="5"/>
      <c r="P24" s="5"/>
      <c r="Q24" s="5"/>
      <c r="R24" s="5"/>
      <c r="S24" s="5"/>
      <c r="T24" s="5"/>
      <c r="U24" s="5"/>
      <c r="V24" s="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5">
      <c r="A25" s="50" t="str">
        <f>HLOOKUP(Chosen,Hide!$A$101:$C$153,25,FALSE)</f>
        <v>Przepływy pieniężne z działalności inwestycyjnej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ht="15">
      <c r="A26" s="51" t="str">
        <f>HLOOKUP(Chosen,Hide!$A$101:$C$153,26,FALSE)</f>
        <v>Wpływy ze sprzedaży inwestycji</v>
      </c>
      <c r="B26" s="7">
        <v>19520</v>
      </c>
      <c r="C26" s="7">
        <v>0</v>
      </c>
      <c r="D26" s="7">
        <v>11797</v>
      </c>
      <c r="E26" s="7">
        <v>11796.6375</v>
      </c>
      <c r="F26" s="7">
        <v>15885</v>
      </c>
      <c r="G26" s="7">
        <v>0</v>
      </c>
      <c r="H26" s="7">
        <v>0</v>
      </c>
      <c r="I26" s="7">
        <v>0</v>
      </c>
      <c r="J26" s="7">
        <v>8660.8803</v>
      </c>
      <c r="K26" s="7">
        <v>0</v>
      </c>
      <c r="L26" s="7"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5">
      <c r="A27" s="51" t="str">
        <f>HLOOKUP(Chosen,Hide!$A$101:$C$153,28,FALSE)</f>
        <v>Nabycie jednostek zależnych</v>
      </c>
      <c r="B27" s="7">
        <v>-97143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-167.13</v>
      </c>
      <c r="K27" s="7">
        <v>0</v>
      </c>
      <c r="L27" s="7"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>
      <c r="A28" s="51" t="str">
        <f>HLOOKUP(Chosen,Hide!$A$101:$C$153,29,FALSE)</f>
        <v>Udzielone pożyczki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>
      <c r="A29" s="52" t="str">
        <f>HLOOKUP(Chosen,Hide!$A$101:$C$153,30,FALSE)</f>
        <v>Środki pieniężne przejęte w wyniku nabycia udziałów w  Medi-Lynx</v>
      </c>
      <c r="B29" s="7">
        <v>5409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>
      <c r="A30" s="60" t="str">
        <f>HLOOKUP(Chosen,Hide!$A$101:$C$153,31,FALSE)</f>
        <v>(Nabycie)/sprzedaż wartości niematerialnych</v>
      </c>
      <c r="B30" s="7">
        <v>-3108</v>
      </c>
      <c r="C30" s="7">
        <v>-37004</v>
      </c>
      <c r="D30" s="7">
        <v>-33725</v>
      </c>
      <c r="E30" s="7">
        <v>-34745.4292675</v>
      </c>
      <c r="F30" s="7">
        <v>-35652</v>
      </c>
      <c r="G30" s="7">
        <v>-1217</v>
      </c>
      <c r="H30" s="7">
        <v>-2285.29623</v>
      </c>
      <c r="I30" s="7">
        <v>-3399</v>
      </c>
      <c r="J30" s="7">
        <v>-5050.28483</v>
      </c>
      <c r="K30" s="7">
        <v>-1496.9703099999992</v>
      </c>
      <c r="L30" s="7">
        <v>-2764.4237041679994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>
      <c r="A31" s="51" t="str">
        <f>HLOOKUP(Chosen,Hide!$A$101:$C$153,32,FALSE)</f>
        <v>(Nabycie)/sprzedaż pozostałych inwestycji</v>
      </c>
      <c r="B31" s="7">
        <v>0</v>
      </c>
      <c r="C31" s="7">
        <v>0</v>
      </c>
      <c r="D31" s="7">
        <v>-40</v>
      </c>
      <c r="E31" s="7">
        <v>-40</v>
      </c>
      <c r="F31" s="7">
        <v>-80</v>
      </c>
      <c r="G31" s="7">
        <v>0</v>
      </c>
      <c r="H31" s="7">
        <v>4148.0595</v>
      </c>
      <c r="I31" s="7">
        <v>-1253.9347835943245</v>
      </c>
      <c r="J31" s="7">
        <v>345.88147999999995</v>
      </c>
      <c r="K31" s="7">
        <v>-3509.942024558813</v>
      </c>
      <c r="L31" s="7">
        <v>5992.3850396825455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>
      <c r="A32" s="51" t="str">
        <f>HLOOKUP(Chosen,Hide!$A$101:$C$153,34,FALSE)</f>
        <v>(Nabycie)/sprzedaż rzeczowych aktywów trwałych</v>
      </c>
      <c r="B32" s="7">
        <v>-5380</v>
      </c>
      <c r="C32" s="7">
        <v>-2906</v>
      </c>
      <c r="D32" s="7">
        <v>-2710</v>
      </c>
      <c r="E32" s="7">
        <v>-2383.528993096367</v>
      </c>
      <c r="F32" s="7">
        <v>-2179</v>
      </c>
      <c r="G32" s="7">
        <v>183</v>
      </c>
      <c r="H32" s="7">
        <v>-331.5992747180476</v>
      </c>
      <c r="I32" s="7">
        <v>4149.66881</v>
      </c>
      <c r="J32" s="7">
        <v>-1382.689623946153</v>
      </c>
      <c r="K32" s="7">
        <v>207.08628968254598</v>
      </c>
      <c r="L32" s="7">
        <v>-4299.875237970788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>
      <c r="A33" s="51" t="str">
        <f>HLOOKUP(Chosen,Hide!$A$101:$C$153,35,FALSE)</f>
        <v>Wpływy z tytułu sprzedaży rzeczowych aktywów trwałych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>
      <c r="A34" s="51" t="str">
        <f>HLOOKUP(Chosen,Hide!$A$101:$C$153,36,FALSE)</f>
        <v>Inne wydatki (koszty przejęcia spółki zależnej)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6" customFormat="1" ht="15">
      <c r="A35" s="50"/>
      <c r="B35" s="8">
        <v>-80702</v>
      </c>
      <c r="C35" s="8">
        <v>-39910</v>
      </c>
      <c r="D35" s="8">
        <v>-24678</v>
      </c>
      <c r="E35" s="8">
        <v>-25372.32076059637</v>
      </c>
      <c r="F35" s="8">
        <v>-22026</v>
      </c>
      <c r="G35" s="8">
        <v>-1034</v>
      </c>
      <c r="H35" s="8">
        <v>1531.1639952819528</v>
      </c>
      <c r="I35" s="8">
        <v>-502.51779359432385</v>
      </c>
      <c r="J35" s="8">
        <v>2406.657326053849</v>
      </c>
      <c r="K35" s="8">
        <v>-4799.826044876267</v>
      </c>
      <c r="L35" s="8">
        <v>-1071.913902456241</v>
      </c>
      <c r="M35" s="8"/>
      <c r="N35" s="8"/>
      <c r="O35" s="5"/>
      <c r="P35" s="5"/>
      <c r="Q35" s="5"/>
      <c r="R35" s="5"/>
      <c r="S35" s="5"/>
      <c r="T35" s="5"/>
      <c r="U35" s="5"/>
      <c r="V35" s="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ht="15">
      <c r="A36" s="50" t="str">
        <f>HLOOKUP(Chosen,Hide!$A$101:$C$153,38,FALSE)</f>
        <v>Przepływy pieniężne z działalności finansowej</v>
      </c>
      <c r="B36" s="7"/>
      <c r="O36" s="7"/>
      <c r="P36" s="7"/>
      <c r="Q36" s="7"/>
      <c r="R36" s="7"/>
      <c r="S36" s="7"/>
      <c r="T36" s="7"/>
      <c r="U36" s="7"/>
      <c r="V36" s="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5">
      <c r="A37" s="51" t="str">
        <f>HLOOKUP(Chosen,Hide!$A$101:$C$153,39,FALSE)</f>
        <v>Wpływy z tytułu zaciągniętych kredytów</v>
      </c>
      <c r="B37" s="7">
        <v>0</v>
      </c>
      <c r="C37" s="7">
        <v>1234</v>
      </c>
      <c r="D37" s="7">
        <v>2513</v>
      </c>
      <c r="E37" s="7">
        <v>522.53</v>
      </c>
      <c r="F37" s="7">
        <v>804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13">
        <v>19000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5">
      <c r="A38" s="51" t="str">
        <f>HLOOKUP(Chosen,Hide!$A$101:$C$153,40,FALSE)</f>
        <v>Wpływy z emisji instrumentów dłużnych</v>
      </c>
      <c r="B38" s="7">
        <v>50000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5">
      <c r="A39" s="52" t="str">
        <f>HLOOKUP(Chosen,Hide!$A$101:$C$153,41,FALSE)</f>
        <v>Wpływy z tytułu wydania akcji</v>
      </c>
      <c r="B39" s="7">
        <v>32186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5">
      <c r="A40" s="52" t="s">
        <v>375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-1709.467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5">
      <c r="A41" s="51" t="str">
        <f>HLOOKUP(Chosen,Hide!$A$101:$C$153,42,FALSE)</f>
        <v>Spłata zadłużenia na kartach kredytowych i z tytułu pożyczek</v>
      </c>
      <c r="B41" s="7">
        <v>-1148</v>
      </c>
      <c r="C41" s="7">
        <v>0</v>
      </c>
      <c r="D41" s="7">
        <v>0</v>
      </c>
      <c r="E41" s="7">
        <v>0</v>
      </c>
      <c r="F41" s="7">
        <v>0</v>
      </c>
      <c r="G41" s="7">
        <v>-865</v>
      </c>
      <c r="H41" s="7">
        <v>-844.5319109850002</v>
      </c>
      <c r="I41" s="7">
        <v>-1625.192251176471</v>
      </c>
      <c r="J41" s="7">
        <v>-1633.0446349999997</v>
      </c>
      <c r="K41" s="7">
        <v>-13.211630000000028</v>
      </c>
      <c r="L41" s="7">
        <v>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5">
      <c r="A42" s="51" t="str">
        <f>HLOOKUP(Chosen,Hide!$A$101:$C$153,43,FALSE)</f>
        <v>Nabycie udziałów niekontrolujących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5">
      <c r="A43" s="51" t="str">
        <f>HLOOKUP(Chosen,Hide!$A$101:$C$153,44,FALSE)</f>
        <v>Wypłata dywidendy</v>
      </c>
      <c r="B43" s="7">
        <v>-6392</v>
      </c>
      <c r="C43" s="7">
        <v>0</v>
      </c>
      <c r="D43" s="7">
        <v>0</v>
      </c>
      <c r="E43" s="7">
        <v>0</v>
      </c>
      <c r="F43" s="7">
        <v>-11565</v>
      </c>
      <c r="G43" s="7">
        <v>0</v>
      </c>
      <c r="H43" s="7">
        <v>0</v>
      </c>
      <c r="I43" s="7">
        <v>-5121</v>
      </c>
      <c r="J43" s="7">
        <v>-5121</v>
      </c>
      <c r="K43" s="7">
        <v>0</v>
      </c>
      <c r="L43" s="7"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5">
      <c r="A44" s="51" t="str">
        <f>HLOOKUP(Chosen,Hide!$A$101:$C$153,45,FALSE)</f>
        <v>Odsetki zapłacone od obligacji</v>
      </c>
      <c r="B44" s="7">
        <v>-1363</v>
      </c>
      <c r="C44" s="7">
        <v>0</v>
      </c>
      <c r="D44" s="7">
        <v>-1371</v>
      </c>
      <c r="E44" s="7">
        <v>-1371</v>
      </c>
      <c r="F44" s="7">
        <v>-2753</v>
      </c>
      <c r="G44" s="7">
        <v>0</v>
      </c>
      <c r="H44" s="7">
        <v>-1373.5</v>
      </c>
      <c r="I44" s="7">
        <v>-1373.5</v>
      </c>
      <c r="J44" s="7">
        <v>-2747.5</v>
      </c>
      <c r="K44" s="7">
        <v>0</v>
      </c>
      <c r="L44" s="7"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5">
      <c r="A45" s="51" t="str">
        <f>HLOOKUP(Chosen,Hide!$A$101:$C$153,46,FALSE)</f>
        <v>Dyskonto obligacji</v>
      </c>
      <c r="B45" s="7">
        <v>-480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5">
      <c r="A46" s="51" t="str">
        <f>HLOOKUP(Chosen,Hide!$A$101:$C$153,47,FALSE)</f>
        <v>Spłata zobowiązań finansowych</v>
      </c>
      <c r="B46" s="7">
        <v>0</v>
      </c>
      <c r="C46" s="7">
        <v>0</v>
      </c>
      <c r="D46" s="7">
        <v>-8080</v>
      </c>
      <c r="E46" s="7">
        <v>-8079.78322017</v>
      </c>
      <c r="F46" s="7">
        <v>-8080</v>
      </c>
      <c r="G46" s="7">
        <v>-7547</v>
      </c>
      <c r="H46" s="7">
        <v>-7838.376795987507</v>
      </c>
      <c r="I46" s="7">
        <v>-7838.376795987507</v>
      </c>
      <c r="J46" s="7">
        <v>-8068.921657256249</v>
      </c>
      <c r="K46" s="7">
        <v>0</v>
      </c>
      <c r="L46" s="7">
        <v>-8081.803800000001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5">
      <c r="A47" s="51" t="str">
        <f>HLOOKUP(Chosen,Hide!$A$101:$C$153,48,FALSE)</f>
        <v>Wypłata z zysku Medi-Lynx do udziałowca mniejszościowego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-1281</v>
      </c>
      <c r="H47" s="7">
        <v>-1404</v>
      </c>
      <c r="I47" s="7">
        <v>-1378.275</v>
      </c>
      <c r="J47" s="7">
        <v>-1409.8875</v>
      </c>
      <c r="K47" s="7">
        <v>0</v>
      </c>
      <c r="L47" s="7">
        <v>-7782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5">
      <c r="A48" s="51" t="s">
        <v>367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-1248.9617313325602</v>
      </c>
      <c r="L48" s="7">
        <v>-2505.4698507670755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5">
      <c r="A49" s="51" t="s">
        <v>374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-51368.5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5">
      <c r="A50" s="51" t="s">
        <v>92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154.64757</v>
      </c>
      <c r="L50" s="7">
        <v>300.87593000000004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6" customFormat="1" ht="15">
      <c r="A51" s="50"/>
      <c r="B51" s="8">
        <v>72803</v>
      </c>
      <c r="C51" s="13">
        <v>1234</v>
      </c>
      <c r="D51" s="13">
        <v>-6938</v>
      </c>
      <c r="E51" s="13">
        <v>-8928.25322017</v>
      </c>
      <c r="F51" s="13">
        <v>-21594</v>
      </c>
      <c r="G51" s="13">
        <v>-9693</v>
      </c>
      <c r="H51" s="13">
        <v>-11460.508706972507</v>
      </c>
      <c r="I51" s="13">
        <v>-17336.444047163975</v>
      </c>
      <c r="J51" s="13">
        <v>-18981.153792256246</v>
      </c>
      <c r="K51" s="13">
        <v>-1107.4857913325602</v>
      </c>
      <c r="L51" s="13">
        <v>-52146.36472076707</v>
      </c>
      <c r="M51" s="13"/>
      <c r="N51" s="13"/>
      <c r="O51" s="5"/>
      <c r="P51" s="5"/>
      <c r="Q51" s="5"/>
      <c r="R51" s="5"/>
      <c r="S51" s="5"/>
      <c r="T51" s="5"/>
      <c r="U51" s="5"/>
      <c r="V51" s="5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</row>
    <row r="52" spans="1:54" s="6" customFormat="1" ht="15">
      <c r="A52" s="50" t="str">
        <f>HLOOKUP(Chosen,Hide!$A$101:$C$153,50,FALSE)</f>
        <v>Przepływy pieniężne netto ogółem</v>
      </c>
      <c r="B52" s="8">
        <v>27578</v>
      </c>
      <c r="C52" s="8">
        <v>-35564</v>
      </c>
      <c r="D52" s="8">
        <v>-28337</v>
      </c>
      <c r="E52" s="8">
        <v>-17352.490134043095</v>
      </c>
      <c r="F52" s="8">
        <v>-15009</v>
      </c>
      <c r="G52" s="8">
        <v>-6502</v>
      </c>
      <c r="H52" s="8">
        <v>11909.163697094804</v>
      </c>
      <c r="I52" s="8">
        <v>15271.0381592417</v>
      </c>
      <c r="J52" s="8">
        <v>27657.579740697267</v>
      </c>
      <c r="K52" s="8">
        <v>3163.508315034763</v>
      </c>
      <c r="L52" s="8">
        <v>-39302.17989367999</v>
      </c>
      <c r="M52" s="8"/>
      <c r="N52" s="8"/>
      <c r="O52" s="5"/>
      <c r="P52" s="5"/>
      <c r="Q52" s="5"/>
      <c r="R52" s="5"/>
      <c r="S52" s="5"/>
      <c r="T52" s="5"/>
      <c r="U52" s="5"/>
      <c r="V52" s="5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</row>
    <row r="53" spans="1:54" ht="15">
      <c r="A53" s="51" t="str">
        <f>HLOOKUP(Chosen,Hide!$A$101:$C$153,51,FALSE)</f>
        <v>Środki pieniężne i ich ekwiwalenty na początek okresu</v>
      </c>
      <c r="B53" s="7">
        <v>19962</v>
      </c>
      <c r="C53" s="14">
        <v>47540</v>
      </c>
      <c r="D53" s="14">
        <v>47540</v>
      </c>
      <c r="E53" s="14">
        <v>47540</v>
      </c>
      <c r="F53" s="14">
        <v>47540</v>
      </c>
      <c r="G53" s="14">
        <v>32531</v>
      </c>
      <c r="H53" s="14">
        <v>32531</v>
      </c>
      <c r="I53" s="14">
        <v>32531</v>
      </c>
      <c r="J53" s="14">
        <v>32531.16300314</v>
      </c>
      <c r="K53" s="14">
        <v>60188.71831175101</v>
      </c>
      <c r="L53" s="14">
        <v>60188.71831175101</v>
      </c>
      <c r="M53" s="14"/>
      <c r="N53" s="14"/>
      <c r="O53" s="7"/>
      <c r="P53" s="7"/>
      <c r="Q53" s="7"/>
      <c r="R53" s="7"/>
      <c r="S53" s="7"/>
      <c r="T53" s="7"/>
      <c r="U53" s="7"/>
      <c r="V53" s="7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ht="15" hidden="1">
      <c r="A54" s="51" t="str">
        <f>HLOOKUP(Chosen,Hide!$A$101:$C$153,52,FALSE)</f>
        <v>Wpływ zmian z tytułu różnic kursowych dotyczących środków pieniężnych i ich ekwiwalentów</v>
      </c>
      <c r="B54" s="7">
        <v>0</v>
      </c>
      <c r="C54" s="15">
        <v>0</v>
      </c>
      <c r="D54" s="15">
        <v>0</v>
      </c>
      <c r="E54" s="15">
        <v>0</v>
      </c>
      <c r="F54" s="15"/>
      <c r="G54" s="15">
        <v>0</v>
      </c>
      <c r="H54" s="15">
        <v>0</v>
      </c>
      <c r="I54" s="15">
        <v>0</v>
      </c>
      <c r="J54" s="15">
        <v>0</v>
      </c>
      <c r="K54" s="15"/>
      <c r="L54" s="15">
        <v>0</v>
      </c>
      <c r="M54" s="15"/>
      <c r="N54" s="15"/>
      <c r="O54" s="7"/>
      <c r="P54" s="7"/>
      <c r="Q54" s="7"/>
      <c r="R54" s="7"/>
      <c r="S54" s="7"/>
      <c r="T54" s="7"/>
      <c r="U54" s="7"/>
      <c r="V54" s="7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6" customFormat="1" ht="15">
      <c r="A55" s="50" t="str">
        <f>HLOOKUP(Chosen,Hide!$A$101:$C$153,53,FALSE)</f>
        <v>Środki pieniężne na koniec okresu</v>
      </c>
      <c r="B55" s="8">
        <v>47540</v>
      </c>
      <c r="C55" s="8">
        <v>11976</v>
      </c>
      <c r="D55" s="8">
        <v>19203</v>
      </c>
      <c r="E55" s="8">
        <v>30187.509865956905</v>
      </c>
      <c r="F55" s="8">
        <v>32531</v>
      </c>
      <c r="G55" s="8">
        <v>26029</v>
      </c>
      <c r="H55" s="8">
        <v>44440.1636970948</v>
      </c>
      <c r="I55" s="8">
        <v>47802.038159241696</v>
      </c>
      <c r="J55" s="8">
        <v>60188.74274383727</v>
      </c>
      <c r="K55" s="8">
        <v>63352.50662678577</v>
      </c>
      <c r="L55" s="8">
        <v>20886.818418071016</v>
      </c>
      <c r="M55" s="8"/>
      <c r="N55" s="8"/>
      <c r="O55" s="5"/>
      <c r="P55" s="5"/>
      <c r="Q55" s="5"/>
      <c r="R55" s="5"/>
      <c r="S55" s="5"/>
      <c r="T55" s="5"/>
      <c r="U55" s="5"/>
      <c r="V55" s="5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2:54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2:54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2:54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2:5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5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3:54" ht="1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L37"/>
  <sheetViews>
    <sheetView showGridLines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C22" sqref="AC22"/>
    </sheetView>
  </sheetViews>
  <sheetFormatPr defaultColWidth="9.140625" defaultRowHeight="15" outlineLevelCol="1"/>
  <cols>
    <col min="1" max="1" width="64.28125" style="2" customWidth="1"/>
    <col min="2" max="5" width="10.421875" style="2" hidden="1" customWidth="1" outlineLevel="1"/>
    <col min="6" max="6" width="10.421875" style="2" customWidth="1" collapsed="1"/>
    <col min="7" max="10" width="10.421875" style="2" hidden="1" customWidth="1" outlineLevel="1"/>
    <col min="11" max="11" width="10.421875" style="2" customWidth="1" collapsed="1"/>
    <col min="12" max="15" width="10.421875" style="2" hidden="1" customWidth="1" outlineLevel="1"/>
    <col min="16" max="16" width="10.421875" style="2" customWidth="1" collapsed="1"/>
    <col min="17" max="19" width="10.421875" style="2" hidden="1" customWidth="1" outlineLevel="1"/>
    <col min="20" max="20" width="9.140625" style="2" hidden="1" customWidth="1" outlineLevel="1"/>
    <col min="21" max="21" width="9.140625" style="2" customWidth="1" collapsed="1"/>
    <col min="22" max="25" width="9.140625" style="2" hidden="1" customWidth="1" outlineLevel="1"/>
    <col min="26" max="26" width="9.140625" style="2" customWidth="1" collapsed="1"/>
    <col min="27" max="27" width="2.7109375" style="2" customWidth="1"/>
    <col min="28" max="28" width="9.140625" style="2" customWidth="1"/>
    <col min="29" max="32" width="9.140625" style="2" customWidth="1" outlineLevel="1"/>
    <col min="33" max="16384" width="9.140625" style="2" customWidth="1"/>
  </cols>
  <sheetData>
    <row r="1" ht="15">
      <c r="A1" s="3" t="str">
        <f>HLOOKUP(Chosen,Hide!$A$9:$C$11,2,FALSE)</f>
        <v>SPIS TREŚCI</v>
      </c>
    </row>
    <row r="2" spans="1:32" s="32" customFormat="1" ht="15">
      <c r="A2" s="90" t="str">
        <f>HLOOKUP(Chosen,Hide!$A$64:$C$99,36,FALSE)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B2" s="33" t="s">
        <v>361</v>
      </c>
      <c r="AC2" s="33" t="s">
        <v>362</v>
      </c>
      <c r="AD2" s="33" t="s">
        <v>363</v>
      </c>
      <c r="AE2" s="33" t="s">
        <v>364</v>
      </c>
      <c r="AF2" s="57">
        <v>2019</v>
      </c>
    </row>
    <row r="3" spans="1:64" s="6" customFormat="1" ht="15">
      <c r="A3" s="36" t="str">
        <f>HLOOKUP(Chosen,Hide!$A$157:$C$178,2,FALSE)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</v>
      </c>
      <c r="AA3" s="5"/>
      <c r="AB3" s="5">
        <v>13373.32736</v>
      </c>
      <c r="AC3" s="5">
        <v>11344.901530000003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>
      <c r="A4" s="37" t="str">
        <f>HLOOKUP(Chosen,Hide!$A$157:$C$178,3,FALSE)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-6433.50725</v>
      </c>
      <c r="AA4" s="7"/>
      <c r="AB4" s="7">
        <v>-3012.59213</v>
      </c>
      <c r="AC4" s="7">
        <v>-1049.1413200000002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5">
      <c r="A5" s="37" t="str">
        <f>HLOOKUP(Chosen,Hide!$A$157:$C$178,4,FALSE)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7">
        <v>-15282.626245525855</v>
      </c>
      <c r="AA5" s="7"/>
      <c r="AB5" s="7">
        <v>-3667.44815</v>
      </c>
      <c r="AC5" s="7">
        <v>-2686.4485099999997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">
      <c r="A6" s="37" t="str">
        <f>HLOOKUP(Chosen,Hide!$A$157:$C$178,5,FALSE)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7">
        <v>-1173.4423500000003</v>
      </c>
      <c r="AA6" s="7"/>
      <c r="AB6" s="7">
        <v>-610.45863</v>
      </c>
      <c r="AC6" s="7">
        <v>-784.6807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5">
      <c r="A7" s="37" t="str">
        <f>HLOOKUP(Chosen,Hide!$A$157:$C$178,6,FALSE)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7">
        <v>-9374.77556</v>
      </c>
      <c r="AA7" s="7"/>
      <c r="AB7" s="7">
        <v>-1864.4901499999999</v>
      </c>
      <c r="AC7" s="7">
        <v>-1999.5982500000002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5">
      <c r="A8" s="38" t="str">
        <f>HLOOKUP(Chosen,Hide!$A$157:$C$178,7,FALSE)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7">
        <v>-1942.52683</v>
      </c>
      <c r="AA8" s="7"/>
      <c r="AB8" s="7">
        <v>-267.50402</v>
      </c>
      <c r="AC8" s="7">
        <v>-374.78394999999995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6" customFormat="1" ht="15">
      <c r="A9" s="39" t="str">
        <f>HLOOKUP(Chosen,Hide!$A$157:$C$178,8,FALSE)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8">
        <v>-34207.87823552586</v>
      </c>
      <c r="AA9" s="5"/>
      <c r="AB9" s="8">
        <v>-9422.49308</v>
      </c>
      <c r="AC9" s="8">
        <v>-6894.65273</v>
      </c>
      <c r="AD9" s="8"/>
      <c r="AE9" s="8"/>
      <c r="AF9" s="8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s="6" customFormat="1" ht="15">
      <c r="A10" s="36" t="str">
        <f>HLOOKUP(Chosen,Hide!$A$157:$C$178,9,FALSE)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8">
        <v>8698.144724474143</v>
      </c>
      <c r="AA10" s="5"/>
      <c r="AB10" s="8">
        <v>3950.834279999999</v>
      </c>
      <c r="AC10" s="8">
        <v>4450.248800000003</v>
      </c>
      <c r="AD10" s="8"/>
      <c r="AE10" s="8"/>
      <c r="AF10" s="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">
      <c r="A11" s="40" t="str">
        <f>HLOOKUP(Chosen,Hide!$A$157:$C$178,10,FALSE)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7">
        <v>336.32922</v>
      </c>
      <c r="AA11" s="7"/>
      <c r="AB11" s="7">
        <v>524.2966</v>
      </c>
      <c r="AC11" s="7">
        <v>81.15834000000007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5">
      <c r="A12" s="40" t="str">
        <f>HLOOKUP(Chosen,Hide!$A$157:$C$178,11,FALSE)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7">
        <v>-1206.3254200272963</v>
      </c>
      <c r="AA12" s="7"/>
      <c r="AB12" s="7">
        <v>-30.834419999999998</v>
      </c>
      <c r="AC12" s="7">
        <v>-141.17993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6" customFormat="1" ht="15">
      <c r="A13" s="39" t="str">
        <f>HLOOKUP(Chosen,Hide!$A$157:$C$178,12,FALSE)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8">
        <v>7828.148524446846</v>
      </c>
      <c r="AA13" s="5"/>
      <c r="AB13" s="8">
        <v>4444.296459999999</v>
      </c>
      <c r="AC13" s="8">
        <v>4390.227210000003</v>
      </c>
      <c r="AD13" s="8"/>
      <c r="AE13" s="8"/>
      <c r="AF13" s="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5">
      <c r="A14" s="40" t="str">
        <f>HLOOKUP(Chosen,Hide!$A$157:$C$178,13,FALSE)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7">
        <v>8989.98646</v>
      </c>
      <c r="AA14" s="7"/>
      <c r="AB14" s="7">
        <v>2573.76236</v>
      </c>
      <c r="AC14" s="7">
        <v>-806.6023600000002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5">
      <c r="A15" s="40" t="str">
        <f>HLOOKUP(Chosen,Hide!$A$157:$C$178,14,FALSE)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7">
        <v>-3086.383780000001</v>
      </c>
      <c r="AA15" s="7"/>
      <c r="AB15" s="7">
        <v>-729.0893800000002</v>
      </c>
      <c r="AC15" s="7">
        <v>-1035.1106199999997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6" customFormat="1" ht="15">
      <c r="A16" s="36" t="str">
        <f>HLOOKUP(Chosen,Hide!$A$157:$C$178,15,FALSE)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8">
        <v>5903.602679999999</v>
      </c>
      <c r="AA16" s="5"/>
      <c r="AB16" s="8">
        <v>1844.6729799999998</v>
      </c>
      <c r="AC16" s="8">
        <v>-1841.7129799999998</v>
      </c>
      <c r="AD16" s="8"/>
      <c r="AE16" s="8"/>
      <c r="AF16" s="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s="6" customFormat="1" ht="15">
      <c r="A17" s="36" t="str">
        <f>HLOOKUP(Chosen,Hide!$A$157:$C$178,16,FALSE)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8">
        <v>13731.751204446846</v>
      </c>
      <c r="AA17" s="5"/>
      <c r="AB17" s="8">
        <v>6288.969439999999</v>
      </c>
      <c r="AC17" s="8">
        <v>2548.454230000003</v>
      </c>
      <c r="AD17" s="8"/>
      <c r="AE17" s="8"/>
      <c r="AF17" s="8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5">
      <c r="A18" s="37" t="str">
        <f>HLOOKUP(Chosen,Hide!$A$157:$C$178,17,FALSE)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7">
        <v>-2407.4783534449007</v>
      </c>
      <c r="AA18" s="7"/>
      <c r="AB18" s="7">
        <v>-1250.895</v>
      </c>
      <c r="AC18" s="7">
        <v>-652.3499999999999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6" customFormat="1" ht="15">
      <c r="A19" s="36" t="str">
        <f>HLOOKUP(Chosen,Hide!$A$157:$C$178,18,FALSE)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8">
        <v>11324.572851001943</v>
      </c>
      <c r="AA19" s="5"/>
      <c r="AB19" s="8">
        <v>5038.0744399999985</v>
      </c>
      <c r="AC19" s="8">
        <v>1896.104230000003</v>
      </c>
      <c r="AD19" s="8"/>
      <c r="AE19" s="8"/>
      <c r="AF19" s="8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5">
      <c r="A20" s="37" t="str">
        <f>HLOOKUP(Chosen,Hide!$A$157:$C$178,19,FALSE)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/>
      <c r="AB20" s="7">
        <v>0</v>
      </c>
      <c r="AC20" s="7">
        <v>0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6" customFormat="1" ht="15">
      <c r="A21" s="36" t="str">
        <f>HLOOKUP(Chosen,Hide!$A$157:$C$178,20,FALSE)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8">
        <v>11324.572851001943</v>
      </c>
      <c r="AA21" s="5"/>
      <c r="AB21" s="8">
        <v>5038.0744399999985</v>
      </c>
      <c r="AC21" s="8">
        <v>1896.104230000003</v>
      </c>
      <c r="AD21" s="8"/>
      <c r="AE21" s="8"/>
      <c r="AF21" s="8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15">
      <c r="A22" s="53" t="str">
        <f>HLOOKUP(Chosen,Hide!$A$157:$C$178,21,FALSE)</f>
        <v xml:space="preserve">Podstawowy zysk/(strata) na jedną akcję w złotych 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0">
        <v>3.1396098838375224</v>
      </c>
      <c r="AA22" s="7"/>
      <c r="AB22" s="10">
        <v>1.3967492209592456</v>
      </c>
      <c r="AC22" s="10">
        <v>0.5256734765733305</v>
      </c>
      <c r="AD22" s="10"/>
      <c r="AE22" s="10"/>
      <c r="AF22" s="10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5">
      <c r="A23" s="53" t="str">
        <f>HLOOKUP(Chosen,Hide!$A$157:$C$178,22,FALSE)</f>
        <v xml:space="preserve">Rozwodniony zysk/(strata) na jedną akcję w złotych 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0">
        <v>3.1396098838375224</v>
      </c>
      <c r="AA23" s="7"/>
      <c r="AB23" s="10">
        <v>1.3967492209592456</v>
      </c>
      <c r="AC23" s="10">
        <v>0.5256734765733305</v>
      </c>
      <c r="AD23" s="10"/>
      <c r="AE23" s="10"/>
      <c r="AF23" s="10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2:64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N98"/>
  <sheetViews>
    <sheetView showGridLines="0" workbookViewId="0" topLeftCell="A1">
      <pane xSplit="1" ySplit="2" topLeftCell="O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W29" sqref="W29"/>
    </sheetView>
  </sheetViews>
  <sheetFormatPr defaultColWidth="9.140625" defaultRowHeight="15"/>
  <cols>
    <col min="1" max="1" width="47.421875" style="2" customWidth="1"/>
    <col min="2" max="23" width="11.421875" style="2" customWidth="1"/>
    <col min="24" max="16384" width="9.140625" style="2" customWidth="1"/>
  </cols>
  <sheetData>
    <row r="1" spans="1:2" ht="15">
      <c r="A1" s="3" t="str">
        <f>HLOOKUP(Chosen,Hide!$A$9:$C$11,2,FALSE)</f>
        <v>SPIS TREŚCI</v>
      </c>
      <c r="B1" s="4"/>
    </row>
    <row r="2" spans="1:23" s="32" customFormat="1" ht="15">
      <c r="A2" s="90" t="str">
        <f>HLOOKUP(Chosen,Hide!$A$64:$C$99,36,FALSE)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</row>
    <row r="3" spans="1:40" ht="15">
      <c r="A3" s="43" t="str">
        <f>HLOOKUP(Chosen,Hide!$A$181:$C$213,2,FALSE)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>
      <c r="A4" s="43" t="str">
        <f>HLOOKUP(Chosen,Hide!$A$181:$C$213,3,FALSE)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>
      <c r="A5" s="43" t="str">
        <f>HLOOKUP(Chosen,Hide!$A$181:$C$213,4,FALSE)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43" t="str">
        <f>HLOOKUP(Chosen,Hide!$A$181:$C$213,5,FALSE)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43" t="str">
        <f>HLOOKUP(Chosen,Hide!$A$181:$C$213,6,FALSE)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.75" customHeight="1">
      <c r="A8" s="38" t="str">
        <f>HLOOKUP(Chosen,Hide!$A$181:$C$213,7,FALSE)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6" customFormat="1" ht="15">
      <c r="A9" s="44" t="str">
        <f>HLOOKUP(Chosen,Hide!$A$181:$C$213,8,FALSE)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43" t="str">
        <f>HLOOKUP(Chosen,Hide!$A$181:$C$213,9,FALSE)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43" t="str">
        <f>HLOOKUP(Chosen,Hide!$A$181:$C$213,10,FALSE)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43" t="str">
        <f>HLOOKUP(Chosen,Hide!$A$181:$C$213,11,FALSE)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43" t="str">
        <f>HLOOKUP(Chosen,Hide!$A$181:$C$213,12,FALSE)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43" t="str">
        <f>HLOOKUP(Chosen,Hide!$A$181:$C$213,13,FALSE)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6" customFormat="1" ht="15">
      <c r="A15" s="44" t="str">
        <f>HLOOKUP(Chosen,Hide!$A$181:$C$213,14,FALSE)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8" customFormat="1" ht="15">
      <c r="A16" s="45" t="str">
        <f>HLOOKUP(Chosen,Hide!$A$181:$C$213,15,FALSE)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5">
      <c r="A17" s="46" t="str">
        <f>HLOOKUP(Chosen,Hide!$A$181:$C$213,16,FALSE)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46" t="str">
        <f>HLOOKUP(Chosen,Hide!$A$181:$C$213,17,FALSE)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111">
        <v>155394</v>
      </c>
      <c r="W18" s="111">
        <v>166718.63295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46" t="str">
        <f>HLOOKUP(Chosen,Hide!$A$181:$C$213,18,FALSE)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46" t="str">
        <f>HLOOKUP(Chosen,Hide!$A$181:$C$213,19,FALSE)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112">
        <v>16363.074439999999</v>
      </c>
      <c r="W20" s="112">
        <v>6934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">
      <c r="A21" s="47" t="str">
        <f>HLOOKUP(Chosen,Hide!$A$181:$C$213,20,FALSE)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6" t="str">
        <f>HLOOKUP(Chosen,Hide!$A$181:$C$213,21,FALSE)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5">
      <c r="A23" s="46" t="str">
        <f>HLOOKUP(Chosen,Hide!$A$181:$C$213,22,FALSE)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28.8">
      <c r="A25" s="46" t="str">
        <f>HLOOKUP(Chosen,Hide!$A$181:$C$216,23,FALSE)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46" t="str">
        <f>HLOOKUP(Chosen,Hide!$A$181:$C$216,35,FALSE)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46" t="str">
        <f>HLOOKUP(Chosen,Hide!$A$181:$C$213,24,FALSE)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6" customFormat="1" ht="15">
      <c r="A28" s="48" t="str">
        <f>HLOOKUP(Chosen,Hide!$A$181:$C$213,25,FALSE)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6" t="str">
        <f>HLOOKUP(Chosen,Hide!$A$181:$C$213,26,FALSE)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</v>
      </c>
      <c r="Q29" s="7">
        <v>11</v>
      </c>
      <c r="R29" s="7">
        <v>8</v>
      </c>
      <c r="S29" s="7">
        <v>28.48427</v>
      </c>
      <c r="T29" s="7">
        <v>31.49163</v>
      </c>
      <c r="U29" s="7">
        <v>39.051010000000005</v>
      </c>
      <c r="V29" s="7">
        <v>41.89599</v>
      </c>
      <c r="W29" s="7">
        <v>9514.300519999999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8.8">
      <c r="A30" s="46" t="str">
        <f>HLOOKUP(Chosen,Hide!$A$181:$C$216,23,FALSE)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50363.83315</v>
      </c>
      <c r="T30" s="7">
        <v>51104.33313</v>
      </c>
      <c r="U30" s="7">
        <v>50472.33311</v>
      </c>
      <c r="V30" s="7">
        <v>52207.354069999994</v>
      </c>
      <c r="W30" s="7">
        <v>1006.43551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.75" customHeight="1">
      <c r="A31" s="46" t="str">
        <f>HLOOKUP(Chosen,Hide!$A$181:$C$213,28,FALSE)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</v>
      </c>
      <c r="Q31" s="7">
        <v>1326</v>
      </c>
      <c r="R31" s="7">
        <v>2188</v>
      </c>
      <c r="S31" s="7">
        <v>7656.475</v>
      </c>
      <c r="T31" s="7">
        <v>2449.8247300000003</v>
      </c>
      <c r="U31" s="7">
        <v>3956.4954055258577</v>
      </c>
      <c r="V31" s="7">
        <v>4802.98196552586</v>
      </c>
      <c r="W31" s="7">
        <v>2600.5929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46" t="str">
        <f>HLOOKUP(Chosen,Hide!$A$181:$C$213,29,FALSE)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46" t="str">
        <f>HLOOKUP(Chosen,Hide!$A$181:$C$213,30,FALSE)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366.76912</v>
      </c>
      <c r="Q33" s="7">
        <v>315</v>
      </c>
      <c r="R33" s="7">
        <v>315</v>
      </c>
      <c r="S33" s="7">
        <v>314.55912</v>
      </c>
      <c r="T33" s="7">
        <v>314.55912</v>
      </c>
      <c r="U33" s="7">
        <v>314.55940999999996</v>
      </c>
      <c r="V33" s="7">
        <v>235.91963</v>
      </c>
      <c r="W33" s="7">
        <v>157.52985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6" customFormat="1" ht="15">
      <c r="A34" s="48" t="str">
        <f>HLOOKUP(Chosen,Hide!$A$181:$C$213,31,FALSE)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9424.510020000002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</v>
      </c>
      <c r="V34" s="8">
        <v>57288.15165552585</v>
      </c>
      <c r="W34" s="8">
        <v>13278.858779999999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5">
      <c r="A35" s="48" t="str">
        <f>HLOOKUP(Chosen,Hide!$A$181:$C$213,32,FALSE)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61495.72102</v>
      </c>
      <c r="Q35" s="8">
        <v>53537</v>
      </c>
      <c r="R35" s="8">
        <v>55509</v>
      </c>
      <c r="S35" s="8">
        <v>60634.24251999999</v>
      </c>
      <c r="T35" s="8">
        <v>56211.24726</v>
      </c>
      <c r="U35" s="8">
        <v>57510.20548552586</v>
      </c>
      <c r="V35" s="8">
        <v>64133.86230552585</v>
      </c>
      <c r="W35" s="8">
        <v>27909.983349999995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8" customFormat="1" ht="15">
      <c r="A36" s="18" t="str">
        <f>HLOOKUP(Chosen,Hide!$A$181:$C$213,33,FALSE)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</v>
      </c>
      <c r="Q36" s="17">
        <v>215422</v>
      </c>
      <c r="R36" s="17">
        <v>218996</v>
      </c>
      <c r="S36" s="17">
        <v>225979.76812</v>
      </c>
      <c r="T36" s="17">
        <v>222590.75245</v>
      </c>
      <c r="U36" s="17">
        <v>224590.2916865278</v>
      </c>
      <c r="V36" s="17">
        <v>236251.79674552585</v>
      </c>
      <c r="W36" s="17">
        <v>201923.6163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H274"/>
  <sheetViews>
    <sheetView showGridLines="0" workbookViewId="0" topLeftCell="A1">
      <pane xSplit="1" ySplit="2" topLeftCell="D3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6" sqref="A46"/>
    </sheetView>
  </sheetViews>
  <sheetFormatPr defaultColWidth="9.140625" defaultRowHeight="15"/>
  <cols>
    <col min="1" max="1" width="61.140625" style="2" customWidth="1"/>
    <col min="2" max="7" width="9.140625" style="2" customWidth="1"/>
    <col min="8" max="16384" width="9.140625" style="2" customWidth="1"/>
  </cols>
  <sheetData>
    <row r="1" ht="15">
      <c r="A1" s="3" t="str">
        <f>HLOOKUP(Chosen,Hide!$A$9:$C$11,2,FALSE)</f>
        <v>SPIS TREŚCI</v>
      </c>
    </row>
    <row r="2" spans="1:16" s="32" customFormat="1" ht="15">
      <c r="A2" s="90" t="str">
        <f>HLOOKUP(Chosen,Hide!$A$64:$C$99,36,FALSE)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</row>
    <row r="3" spans="1:60" ht="15">
      <c r="A3" s="49" t="str">
        <f>HLOOKUP(Chosen,Hide!$A$219:$C$266,2,FALSE)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ht="15">
      <c r="A4" s="50" t="str">
        <f>HLOOKUP(Chosen,Hide!$A$219:$C$266,3,FALSE)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5">
      <c r="A5" s="54" t="str">
        <f>HLOOKUP(Chosen,Hide!$A$219:$C$266,4,FALSE)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54" t="str">
        <f>HLOOKUP(Chosen,Hide!$A$219:$C$266,5,FALSE)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">
      <c r="A7" s="54" t="str">
        <f>HLOOKUP(Chosen,Hide!$A$219:$C$266,6,FALSE)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5">
      <c r="A8" s="54" t="str">
        <f>HLOOKUP(Chosen,Hide!$A$219:$C$266,7,FALSE)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5">
      <c r="A9" s="54" t="str">
        <f>HLOOKUP(Chosen,Hide!$A$219:$C$266,8,FALSE)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5">
      <c r="A10" s="54" t="str">
        <f>HLOOKUP(Chosen,Hide!$A$219:$C$266,9,FALSE)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5">
      <c r="A11" s="54" t="str">
        <f>HLOOKUP(Chosen,Hide!$A$219:$C$266,10,FALSE)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5">
      <c r="A12" s="54" t="str">
        <f>HLOOKUP(Chosen,Hide!$A$219:$C$266,11,FALSE)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4" t="str">
        <f>HLOOKUP(Chosen,Hide!$A$219:$C$266,12,FALSE)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4" t="str">
        <f>HLOOKUP(Chosen,Hide!$A$219:$C$266,13,FALSE)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4" t="str">
        <f>HLOOKUP(Chosen,Hide!$A$219:$C$266,14,FALSE)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4" t="str">
        <f>HLOOKUP(Chosen,Hide!$A$219:$C$266,15,FALSE)</f>
        <v>Wycena walutowa oraz odsetki naliczone od udzielonych pożyczek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4" t="str">
        <f>HLOOKUP(Chosen,Hide!$A$219:$C$266,16,FALSE)</f>
        <v>(Zysk)/strata ze sprzedaży rzeczowych aktywów trwałych</v>
      </c>
      <c r="B17" s="7">
        <v>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4" t="str">
        <f>HLOOKUP(Chosen,Hide!$A$219:$C$266,17,FALSE)</f>
        <v>(Zysk)/strata ze sprzedaży inwestycji</v>
      </c>
      <c r="B18" s="7">
        <v>0</v>
      </c>
      <c r="C18" s="7">
        <v>0</v>
      </c>
      <c r="D18" s="7">
        <v>-216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4" t="str">
        <f>HLOOKUP(Chosen,Hide!$A$219:$C$266,20,FALSE)</f>
        <v>(Przychody)/koszty finansowe netto</v>
      </c>
      <c r="B19" s="7">
        <v>-3737</v>
      </c>
      <c r="C19" s="7">
        <v>4420</v>
      </c>
      <c r="D19" s="7">
        <v>0</v>
      </c>
      <c r="E19" s="7">
        <v>0</v>
      </c>
      <c r="F19" s="7">
        <v>-98</v>
      </c>
      <c r="G19" s="7">
        <v>-2.0891099999997778</v>
      </c>
      <c r="H19" s="7">
        <v>81</v>
      </c>
      <c r="I19" s="7">
        <v>-178</v>
      </c>
      <c r="J19" s="7">
        <v>82.44845999999892</v>
      </c>
      <c r="K19" s="7">
        <v>50.13875999999922</v>
      </c>
      <c r="L19" s="7">
        <v>332.6775699999994</v>
      </c>
      <c r="M19" s="7">
        <v>22.211639999999967</v>
      </c>
      <c r="N19" s="7">
        <v>178.90125000000006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4" t="str">
        <f>HLOOKUP(Chosen,Hide!$A$219:$C$266,21,FALSE)</f>
        <v>Wycena programu motywacyjnego</v>
      </c>
      <c r="B20" s="7">
        <v>0</v>
      </c>
      <c r="C20" s="7">
        <v>0</v>
      </c>
      <c r="D20" s="7">
        <v>3170</v>
      </c>
      <c r="E20" s="7">
        <v>1005</v>
      </c>
      <c r="F20" s="7">
        <v>2009</v>
      </c>
      <c r="G20" s="7">
        <v>2009</v>
      </c>
      <c r="H20" s="7">
        <v>2142</v>
      </c>
      <c r="I20" s="7">
        <v>742</v>
      </c>
      <c r="J20" s="7">
        <v>1484.5</v>
      </c>
      <c r="K20" s="7">
        <v>2226.75</v>
      </c>
      <c r="L20" s="7">
        <v>0</v>
      </c>
      <c r="M20" s="7">
        <v>0</v>
      </c>
      <c r="N20" s="7"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4" t="str">
        <f>HLOOKUP(Chosen,Hide!$A$219:$C$266,22,FALSE)</f>
        <v>Podatek zapłacony</v>
      </c>
      <c r="B21" s="7">
        <v>-3948</v>
      </c>
      <c r="C21" s="7">
        <v>-4255</v>
      </c>
      <c r="D21" s="7">
        <v>-2541</v>
      </c>
      <c r="E21" s="7">
        <v>-2234</v>
      </c>
      <c r="F21" s="7">
        <v>-2447</v>
      </c>
      <c r="G21" s="7">
        <v>-3261.6900000000005</v>
      </c>
      <c r="H21" s="7">
        <v>-2285</v>
      </c>
      <c r="I21" s="7">
        <v>-545</v>
      </c>
      <c r="J21" s="7">
        <v>-572.162</v>
      </c>
      <c r="K21" s="7">
        <v>-862.255</v>
      </c>
      <c r="L21" s="7">
        <v>-823.079</v>
      </c>
      <c r="M21" s="7">
        <v>-581.669</v>
      </c>
      <c r="N21" s="7">
        <v>-799.949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4" t="str">
        <f>HLOOKUP(Chosen,Hide!$A$219:$C$266,19,FALSE)</f>
        <v xml:space="preserve">Różnice kursowe </v>
      </c>
      <c r="B22" s="7">
        <v>0</v>
      </c>
      <c r="C22" s="7">
        <v>0</v>
      </c>
      <c r="D22" s="7">
        <v>-4227</v>
      </c>
      <c r="E22" s="7">
        <v>3789</v>
      </c>
      <c r="F22" s="7">
        <v>8410</v>
      </c>
      <c r="G22" s="7">
        <v>9460.28563213799</v>
      </c>
      <c r="H22" s="7">
        <v>12248</v>
      </c>
      <c r="I22" s="7">
        <v>1248</v>
      </c>
      <c r="J22" s="7">
        <v>-4943.730169500003</v>
      </c>
      <c r="K22" s="7">
        <v>-3546.335758499995</v>
      </c>
      <c r="L22" s="7">
        <v>-5262.568637045</v>
      </c>
      <c r="M22" s="7">
        <v>-1495.3837835199993</v>
      </c>
      <c r="N22" s="7">
        <v>413.3770399999999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4" t="str">
        <f>HLOOKUP(Chosen,Hide!$A$219:$C$266,18,FALSE)</f>
        <v>Odsetki</v>
      </c>
      <c r="B23" s="7">
        <v>0</v>
      </c>
      <c r="C23" s="7">
        <v>0</v>
      </c>
      <c r="D23" s="7">
        <v>194</v>
      </c>
      <c r="E23" s="7">
        <v>678</v>
      </c>
      <c r="F23" s="7">
        <v>-265</v>
      </c>
      <c r="G23" s="7">
        <v>-404.37814000000037</v>
      </c>
      <c r="H23" s="7">
        <v>269</v>
      </c>
      <c r="I23" s="7">
        <v>61</v>
      </c>
      <c r="J23" s="7">
        <v>7.153378072622942</v>
      </c>
      <c r="K23" s="7">
        <v>-141.60922551497166</v>
      </c>
      <c r="L23" s="7">
        <v>-86.24976006733266</v>
      </c>
      <c r="M23" s="7">
        <v>-173.19368297586922</v>
      </c>
      <c r="N23" s="7">
        <v>-709.2972399999996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4" t="str">
        <f>HLOOKUP(Chosen,Hide!$A$219:$C$266,23,FALSE)</f>
        <v>Pozostałe</v>
      </c>
      <c r="B24" s="7">
        <v>0</v>
      </c>
      <c r="C24" s="7">
        <v>7</v>
      </c>
      <c r="D24" s="7">
        <v>-457</v>
      </c>
      <c r="E24" s="7">
        <v>0</v>
      </c>
      <c r="F24" s="7">
        <v>-2</v>
      </c>
      <c r="G24" s="7">
        <v>-0.6</v>
      </c>
      <c r="H24" s="7">
        <v>-2</v>
      </c>
      <c r="I24" s="7">
        <v>-2</v>
      </c>
      <c r="J24" s="7">
        <v>-30.72</v>
      </c>
      <c r="K24" s="7">
        <v>8.6851840149593</v>
      </c>
      <c r="L24" s="7">
        <v>50.4478871123265</v>
      </c>
      <c r="M24" s="7">
        <v>79.46965000000003</v>
      </c>
      <c r="N24" s="7">
        <v>153.71000000000006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6" customFormat="1" ht="15">
      <c r="A25" s="50"/>
      <c r="B25" s="8">
        <v>-2907</v>
      </c>
      <c r="C25" s="8">
        <v>17347</v>
      </c>
      <c r="D25" s="8">
        <v>19716</v>
      </c>
      <c r="E25" s="8">
        <v>2742</v>
      </c>
      <c r="F25" s="8">
        <v>-5291</v>
      </c>
      <c r="G25" s="8">
        <v>1067.4782602289815</v>
      </c>
      <c r="H25" s="8">
        <v>7719</v>
      </c>
      <c r="I25" s="8">
        <v>1514</v>
      </c>
      <c r="J25" s="8">
        <v>5841.450408572619</v>
      </c>
      <c r="K25" s="8">
        <v>8628.596019999994</v>
      </c>
      <c r="L25" s="8">
        <v>11804.094769999994</v>
      </c>
      <c r="M25" s="8">
        <v>3212.488969029988</v>
      </c>
      <c r="N25" s="8">
        <v>6517.091600000002</v>
      </c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5">
      <c r="A26" s="50" t="str">
        <f>HLOOKUP(Chosen,Hide!$A$219:$C$266,25,FALSE)</f>
        <v>Przepływy pieniężne z działalności inwestycyjnej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54" t="str">
        <f>HLOOKUP(Chosen,Hide!$A$219:$C$266,26,FALSE)</f>
        <v>Wpływy ze sprzedaży inwestycji</v>
      </c>
      <c r="B27" s="7">
        <v>6013</v>
      </c>
      <c r="C27" s="7">
        <v>3342</v>
      </c>
      <c r="D27" s="7">
        <v>19520</v>
      </c>
      <c r="E27" s="7">
        <v>0</v>
      </c>
      <c r="F27" s="7">
        <v>11797</v>
      </c>
      <c r="G27" s="7">
        <v>11796.6375</v>
      </c>
      <c r="H27" s="7">
        <v>15884</v>
      </c>
      <c r="I27" s="7">
        <v>0</v>
      </c>
      <c r="J27" s="7">
        <v>4148.0595</v>
      </c>
      <c r="K27" s="7">
        <v>4148.0595</v>
      </c>
      <c r="L27" s="7">
        <v>8660.8803</v>
      </c>
      <c r="M27" s="7">
        <v>0</v>
      </c>
      <c r="N27" s="7">
        <v>5825.29875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4" t="str">
        <f>HLOOKUP(Chosen,Hide!$A$219:$C$266,27,FALSE)</f>
        <v>Odsetki otrzymane</v>
      </c>
      <c r="B28" s="7">
        <v>3737</v>
      </c>
      <c r="C28" s="7">
        <v>1732</v>
      </c>
      <c r="D28" s="7">
        <v>291</v>
      </c>
      <c r="E28" s="7">
        <v>0</v>
      </c>
      <c r="F28" s="7">
        <v>0</v>
      </c>
      <c r="G28" s="7">
        <v>0</v>
      </c>
      <c r="H28" s="7">
        <v>5098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4" t="str">
        <f>HLOOKUP(Chosen,Hide!$A$219:$C$266,28,FALSE)</f>
        <v>Nabycie jednostek zależnych</v>
      </c>
      <c r="B29" s="7">
        <v>0</v>
      </c>
      <c r="C29" s="7">
        <v>0</v>
      </c>
      <c r="D29" s="7">
        <v>-54169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-167.004</v>
      </c>
      <c r="L29" s="7">
        <v>-167.004</v>
      </c>
      <c r="M29" s="7">
        <v>-182.53344</v>
      </c>
      <c r="N29" s="7">
        <v>-182.50344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4" t="s">
        <v>373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19720.9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 customHeight="1">
      <c r="A31" s="54" t="str">
        <f>HLOOKUP(Chosen,Hide!$A$219:$C$266,29,FALSE)</f>
        <v>Udzielone pożyczki</v>
      </c>
      <c r="B31" s="7">
        <v>0</v>
      </c>
      <c r="C31" s="7">
        <v>0</v>
      </c>
      <c r="D31" s="7">
        <v>-44544</v>
      </c>
      <c r="E31" s="7">
        <v>-27799</v>
      </c>
      <c r="F31" s="7">
        <v>-27799</v>
      </c>
      <c r="G31" s="7">
        <v>-27798.98655</v>
      </c>
      <c r="H31" s="7">
        <v>-27799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-7673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60" t="str">
        <f>HLOOKUP(Chosen,Hide!$A$219:$C$266,30,FALSE)</f>
        <v>Nabycie rzeczowych aktywów trwałych i wartości niematerialnych</v>
      </c>
      <c r="B32" s="7">
        <v>-747</v>
      </c>
      <c r="C32" s="7">
        <v>-2693</v>
      </c>
      <c r="D32" s="7">
        <v>-2948</v>
      </c>
      <c r="E32" s="7">
        <v>-5690</v>
      </c>
      <c r="F32" s="7">
        <v>-1860</v>
      </c>
      <c r="G32" s="7">
        <v>-2986.8010499999996</v>
      </c>
      <c r="H32" s="7">
        <v>-4382</v>
      </c>
      <c r="I32" s="7">
        <v>-1349</v>
      </c>
      <c r="J32" s="7">
        <v>-2747.32451</v>
      </c>
      <c r="K32" s="7">
        <v>-4375.64553</v>
      </c>
      <c r="L32" s="7">
        <v>-6158.141879999999</v>
      </c>
      <c r="M32" s="7">
        <v>-1628.4559400000003</v>
      </c>
      <c r="N32" s="7">
        <v>-2981.62861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60" t="str">
        <f>HLOOKUP(Chosen,Hide!$A$219:$C$266,31,FALSE)</f>
        <v>Wpływy z tytułu sprzedaży rzeczowych aktywów trwałych i wartości niematerialnych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60" t="str">
        <f>HLOOKUP(Chosen,Hide!$A$219:$C$266,32,FALSE)</f>
        <v>Inne wydatki (koszty przejęcia spółki zależnej, wydatki na prace rozwojowe)</v>
      </c>
      <c r="B34" s="7">
        <v>-4413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-43.40698999999999</v>
      </c>
      <c r="N34" s="114">
        <v>-67.47179999999999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60" t="str">
        <f>HLOOKUP(Chosen,Hide!$A$219:$C$266,33,FALSE)</f>
        <v>Inne wpływy finansowe</v>
      </c>
      <c r="B35" s="7">
        <v>0</v>
      </c>
      <c r="C35" s="7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54" t="str">
        <f>HLOOKUP(Chosen,Hide!$A$219:$C$266,34,FALSE)</f>
        <v>Nabycie pozostałych inwestycji</v>
      </c>
      <c r="B36" s="7">
        <v>-11226</v>
      </c>
      <c r="C36" s="7">
        <v>-18472</v>
      </c>
      <c r="D36" s="7">
        <v>0</v>
      </c>
      <c r="E36" s="7">
        <v>0</v>
      </c>
      <c r="F36" s="7">
        <v>-40</v>
      </c>
      <c r="G36" s="7">
        <v>-40</v>
      </c>
      <c r="H36" s="7">
        <v>-80</v>
      </c>
      <c r="I36" s="7">
        <v>0</v>
      </c>
      <c r="J36" s="7">
        <v>0</v>
      </c>
      <c r="K36" s="7">
        <v>-40</v>
      </c>
      <c r="L36" s="7">
        <v>-40</v>
      </c>
      <c r="M36" s="7">
        <v>0</v>
      </c>
      <c r="N36" s="7">
        <v>-40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54" t="str">
        <f>HLOOKUP(Chosen,Hide!$A$219:$C$266,35,FALSE)</f>
        <v>Zmiana stanu zobowiązań z tyt. nabycia wartości niematerialnych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54" t="str">
        <f>HLOOKUP(Chosen,Hide!$A$219:$C$268,50,FALSE)</f>
        <v>Dopłaty do kapitału jednostek zależnych</v>
      </c>
      <c r="B38" s="7">
        <v>0</v>
      </c>
      <c r="C38" s="7">
        <v>0</v>
      </c>
      <c r="D38" s="7">
        <v>0</v>
      </c>
      <c r="E38" s="7">
        <v>0</v>
      </c>
      <c r="F38" s="7">
        <v>-8051</v>
      </c>
      <c r="G38" s="7">
        <v>-8050.95974</v>
      </c>
      <c r="H38" s="7">
        <v>-8051</v>
      </c>
      <c r="I38" s="7">
        <v>0</v>
      </c>
      <c r="J38" s="7">
        <v>0</v>
      </c>
      <c r="K38" s="7">
        <v>-1100</v>
      </c>
      <c r="L38" s="7">
        <v>-1100</v>
      </c>
      <c r="M38" s="7">
        <v>0</v>
      </c>
      <c r="N38" s="7"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s="6" customFormat="1" ht="15">
      <c r="A39" s="50"/>
      <c r="B39" s="8">
        <v>-6636</v>
      </c>
      <c r="C39" s="8">
        <v>-16056</v>
      </c>
      <c r="D39" s="8">
        <v>-81850</v>
      </c>
      <c r="E39" s="8">
        <v>-33489</v>
      </c>
      <c r="F39" s="8">
        <v>-25953</v>
      </c>
      <c r="G39" s="8">
        <v>-27080.109839999997</v>
      </c>
      <c r="H39" s="8">
        <v>-19330</v>
      </c>
      <c r="I39" s="8">
        <v>-1349</v>
      </c>
      <c r="J39" s="8">
        <v>1400.7349900000004</v>
      </c>
      <c r="K39" s="8">
        <v>-1534.5900299999994</v>
      </c>
      <c r="L39" s="8">
        <v>1195.7344200000016</v>
      </c>
      <c r="M39" s="8">
        <v>-1854.3963700000002</v>
      </c>
      <c r="N39" s="8">
        <v>14600.744900000005</v>
      </c>
      <c r="O39" s="8"/>
      <c r="P39" s="8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5">
      <c r="A40" s="50" t="str">
        <f>HLOOKUP(Chosen,Hide!$A$219:$C$266,37,FALSE)</f>
        <v>Przepływy pieniężne z działalności finansowej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54" t="str">
        <f>HLOOKUP(Chosen,Hide!$A$219:$C$266,38,FALSE)</f>
        <v>Wpływy z emisji instrumentów dłużnych</v>
      </c>
      <c r="B41" s="7">
        <v>0</v>
      </c>
      <c r="C41" s="7">
        <v>0</v>
      </c>
      <c r="D41" s="7">
        <v>50000</v>
      </c>
      <c r="E41" s="11" t="s">
        <v>114</v>
      </c>
      <c r="F41" s="11">
        <v>0</v>
      </c>
      <c r="G41" s="11">
        <v>0</v>
      </c>
      <c r="H41" s="7">
        <v>0</v>
      </c>
      <c r="I41" s="11">
        <v>0</v>
      </c>
      <c r="J41" s="11">
        <v>0</v>
      </c>
      <c r="K41" s="11">
        <v>0</v>
      </c>
      <c r="L41" s="7">
        <v>0</v>
      </c>
      <c r="M41" s="7">
        <v>0</v>
      </c>
      <c r="N41" s="11">
        <v>0</v>
      </c>
      <c r="O41" s="1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54" t="str">
        <f>HLOOKUP(Chosen,Hide!$A$219:$C$266,39,FALSE)</f>
        <v>Wpływy z tytułu wydania akcji</v>
      </c>
      <c r="B42" s="7">
        <v>3</v>
      </c>
      <c r="C42" s="7">
        <v>0</v>
      </c>
      <c r="D42" s="7">
        <v>32186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54" t="str">
        <f>HLOOKUP(Chosen,Hide!$A$219:$C$266,40,FALSE)</f>
        <v>Wypłata dywidendy</v>
      </c>
      <c r="B43" s="7">
        <v>-4665</v>
      </c>
      <c r="C43" s="7">
        <v>-5529</v>
      </c>
      <c r="D43" s="7">
        <v>-6392</v>
      </c>
      <c r="E43" s="11">
        <v>0</v>
      </c>
      <c r="F43" s="11">
        <v>0</v>
      </c>
      <c r="G43" s="11">
        <v>0</v>
      </c>
      <c r="H43" s="7">
        <v>-7213</v>
      </c>
      <c r="I43" s="11">
        <v>0</v>
      </c>
      <c r="J43" s="11">
        <v>0</v>
      </c>
      <c r="K43" s="11">
        <v>-5121.26692</v>
      </c>
      <c r="L43" s="7">
        <v>-5121.26692</v>
      </c>
      <c r="M43" s="7">
        <v>0</v>
      </c>
      <c r="N43" s="11">
        <v>0</v>
      </c>
      <c r="O43" s="1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54" t="str">
        <f>HLOOKUP(Chosen,Hide!$A$219:$C$266,41,FALSE)</f>
        <v>Wpływy z tytułu zaciągniętych kredytów</v>
      </c>
      <c r="B44" s="7">
        <v>0</v>
      </c>
      <c r="C44" s="7">
        <v>0</v>
      </c>
      <c r="D44" s="7">
        <v>0</v>
      </c>
      <c r="E44" s="7">
        <v>649</v>
      </c>
      <c r="F44" s="7">
        <v>1401</v>
      </c>
      <c r="G44" s="7">
        <v>3.924950000000001</v>
      </c>
      <c r="H44" s="7">
        <v>2</v>
      </c>
      <c r="I44" s="7">
        <v>0</v>
      </c>
      <c r="J44" s="7">
        <v>0</v>
      </c>
      <c r="K44" s="7">
        <v>0</v>
      </c>
      <c r="L44" s="7">
        <v>28.722980000000003</v>
      </c>
      <c r="M44" s="7">
        <v>2.8959899999999976</v>
      </c>
      <c r="N44" s="7">
        <v>19000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54" t="str">
        <f>HLOOKUP(Chosen,Hide!$A$219:$C$266,42,FALSE)</f>
        <v>Spłata kredytów i pożyczek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-3</v>
      </c>
      <c r="J45" s="7">
        <v>17.58427</v>
      </c>
      <c r="K45" s="7">
        <v>21.454849999999997</v>
      </c>
      <c r="L45" s="7">
        <v>0</v>
      </c>
      <c r="M45" s="7">
        <v>0</v>
      </c>
      <c r="N45" s="7">
        <v>-1677.327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54" t="s">
        <v>374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-51369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54" t="s">
        <v>368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-241.9869</v>
      </c>
      <c r="N47" s="7">
        <v>-547.47668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54" t="s">
        <v>369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-28.835549999999998</v>
      </c>
      <c r="N48" s="7">
        <v>-56.912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54" t="str">
        <f>HLOOKUP(Chosen,Hide!$A$219:$C$266,43,FALSE)</f>
        <v>Odsetki zapłacone od obligacji</v>
      </c>
      <c r="B49" s="7">
        <v>0</v>
      </c>
      <c r="C49" s="7">
        <v>0</v>
      </c>
      <c r="D49" s="7">
        <v>-1363</v>
      </c>
      <c r="E49" s="7">
        <v>0</v>
      </c>
      <c r="F49" s="7">
        <v>-1371</v>
      </c>
      <c r="G49" s="7">
        <v>-1371</v>
      </c>
      <c r="H49" s="7">
        <v>-2753</v>
      </c>
      <c r="I49" s="7">
        <v>0</v>
      </c>
      <c r="J49" s="7">
        <v>-1373.5</v>
      </c>
      <c r="K49" s="7">
        <v>-1373.5</v>
      </c>
      <c r="L49" s="7">
        <v>-2747.5</v>
      </c>
      <c r="M49" s="7">
        <v>0</v>
      </c>
      <c r="N49" s="7"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55" t="str">
        <f>HLOOKUP(Chosen,Hide!$A$219:$C$266,44,FALSE)</f>
        <v>Dyskonto od obligacji</v>
      </c>
      <c r="B50" s="7">
        <v>0</v>
      </c>
      <c r="C50" s="7">
        <v>0</v>
      </c>
      <c r="D50" s="7">
        <v>-480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/>
      <c r="L50" s="7">
        <v>0</v>
      </c>
      <c r="M50" s="7">
        <v>0</v>
      </c>
      <c r="N50" s="7">
        <v>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55" t="str">
        <f>HLOOKUP(Chosen,Hide!$A$219:$C$266,45,FALSE)</f>
        <v>Inne wpływy finansowe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82</v>
      </c>
      <c r="K51" s="7">
        <v>208.73931</v>
      </c>
      <c r="L51" s="7">
        <v>385.88147999999995</v>
      </c>
      <c r="M51" s="7">
        <v>131.84766</v>
      </c>
      <c r="N51" s="7">
        <v>300.87593000000004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s="6" customFormat="1" ht="15">
      <c r="A52" s="50"/>
      <c r="B52" s="13">
        <v>-4662</v>
      </c>
      <c r="C52" s="8">
        <v>-5529</v>
      </c>
      <c r="D52" s="8">
        <v>73951</v>
      </c>
      <c r="E52" s="13">
        <v>649</v>
      </c>
      <c r="F52" s="13">
        <v>30</v>
      </c>
      <c r="G52" s="13">
        <v>-1367.07505</v>
      </c>
      <c r="H52" s="8">
        <v>-9964</v>
      </c>
      <c r="I52" s="13">
        <v>-3</v>
      </c>
      <c r="J52" s="13">
        <v>-1273.80108</v>
      </c>
      <c r="K52" s="13">
        <v>-6264.57276</v>
      </c>
      <c r="L52" s="8">
        <v>-7454.1624600000005</v>
      </c>
      <c r="M52" s="13">
        <v>-136.07880000000003</v>
      </c>
      <c r="N52" s="13">
        <v>-34349.33975</v>
      </c>
      <c r="O52" s="13"/>
      <c r="P52" s="8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6" customFormat="1" ht="15">
      <c r="A53" s="50" t="str">
        <f>HLOOKUP(Chosen,Hide!$A$219:$C$266,46,FALSE)</f>
        <v>Przepływy pieniężne netto ogółem</v>
      </c>
      <c r="B53" s="8">
        <v>-14205</v>
      </c>
      <c r="C53" s="8">
        <v>-4238</v>
      </c>
      <c r="D53" s="8">
        <v>11817</v>
      </c>
      <c r="E53" s="8">
        <v>-30098</v>
      </c>
      <c r="F53" s="8">
        <v>-31214</v>
      </c>
      <c r="G53" s="8">
        <v>-27380.036629771017</v>
      </c>
      <c r="H53" s="8">
        <v>-21575</v>
      </c>
      <c r="I53" s="8">
        <v>162</v>
      </c>
      <c r="J53" s="8">
        <v>5968.38431857262</v>
      </c>
      <c r="K53" s="8">
        <v>829.4332299999942</v>
      </c>
      <c r="L53" s="8">
        <v>5545.9667299999965</v>
      </c>
      <c r="M53" s="8">
        <v>1222.0137990299877</v>
      </c>
      <c r="N53" s="8">
        <f>-13231.50325+0.1</f>
        <v>-13231.40325</v>
      </c>
      <c r="O53" s="8"/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5">
      <c r="A54" s="51" t="str">
        <f>HLOOKUP(Chosen,Hide!$A$219:$C$266,47,FALSE)</f>
        <v>Środki pieniężne i ich ekwiwalenty na początek okresu</v>
      </c>
      <c r="B54" s="7">
        <v>38405</v>
      </c>
      <c r="C54" s="7">
        <v>24200</v>
      </c>
      <c r="D54" s="7">
        <v>19962</v>
      </c>
      <c r="E54" s="7">
        <v>31779</v>
      </c>
      <c r="F54" s="7">
        <v>31779</v>
      </c>
      <c r="G54" s="7">
        <v>31778.65</v>
      </c>
      <c r="H54" s="7">
        <v>31779</v>
      </c>
      <c r="I54" s="7">
        <v>10204</v>
      </c>
      <c r="J54" s="7">
        <v>10204</v>
      </c>
      <c r="K54" s="7">
        <v>10204</v>
      </c>
      <c r="L54" s="7">
        <v>10203.71</v>
      </c>
      <c r="M54" s="7">
        <v>15750</v>
      </c>
      <c r="N54" s="7">
        <v>15750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s="6" customFormat="1" ht="15">
      <c r="A55" s="50" t="str">
        <f>HLOOKUP(Chosen,Hide!$A$219:$C$266,48,FALSE)</f>
        <v>Środki pieniężne na koniec okresu</v>
      </c>
      <c r="B55" s="8">
        <v>24200</v>
      </c>
      <c r="C55" s="8">
        <v>19962</v>
      </c>
      <c r="D55" s="8">
        <v>31779</v>
      </c>
      <c r="E55" s="8">
        <v>1681</v>
      </c>
      <c r="F55" s="8">
        <v>565</v>
      </c>
      <c r="G55" s="8">
        <v>4398.613370228984</v>
      </c>
      <c r="H55" s="8">
        <v>10204</v>
      </c>
      <c r="I55" s="8">
        <v>10366</v>
      </c>
      <c r="J55" s="8">
        <v>16172.38431857262</v>
      </c>
      <c r="K55" s="8">
        <v>11033.433229999995</v>
      </c>
      <c r="L55" s="8">
        <v>15749.766730000001</v>
      </c>
      <c r="M55" s="8">
        <v>16972.013799029988</v>
      </c>
      <c r="N55" s="8">
        <v>2519</v>
      </c>
      <c r="O55" s="8"/>
      <c r="P55" s="8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2:6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2:6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2:6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000396251678"/>
  </sheetPr>
  <dimension ref="A1:AR9"/>
  <sheetViews>
    <sheetView showGridLines="0" workbookViewId="0" topLeftCell="A1">
      <pane xSplit="1" ySplit="3" topLeftCell="Y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H14" sqref="AH14"/>
    </sheetView>
  </sheetViews>
  <sheetFormatPr defaultColWidth="8.7109375" defaultRowHeight="15" outlineLevelCol="1"/>
  <cols>
    <col min="1" max="1" width="28.28125" style="2" customWidth="1"/>
    <col min="2" max="4" width="10.140625" style="23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hidden="1" customWidth="1" outlineLevel="1"/>
    <col min="18" max="18" width="8.7109375" style="2" customWidth="1" collapsed="1"/>
    <col min="19" max="16384" width="8.7109375" style="2" customWidth="1"/>
  </cols>
  <sheetData>
    <row r="1" ht="15">
      <c r="A1" s="3" t="str">
        <f>HLOOKUP(Chosen,Hide!$A$9:$C$11,2,FALSE)</f>
        <v>SPIS TREŚCI</v>
      </c>
    </row>
    <row r="2" ht="15">
      <c r="A2" s="36" t="str">
        <f>HLOOKUP(Chosen,Hide!$A$287:$C$291,3,FALSE)</f>
        <v>WNIOSKI</v>
      </c>
    </row>
    <row r="3" spans="2:44" s="32" customFormat="1" ht="15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</row>
    <row r="4" spans="1:44" s="30" customFormat="1" ht="33" customHeight="1">
      <c r="A4" s="36" t="str">
        <f>HLOOKUP(Chosen,Hide!$A$287:$C$291,2,FALSE)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</row>
    <row r="5" spans="1:28" ht="15">
      <c r="A5" s="36"/>
      <c r="D5" s="31"/>
      <c r="AB5" s="101"/>
    </row>
    <row r="6" spans="1:19" ht="15">
      <c r="A6" s="36"/>
      <c r="C6" s="31"/>
      <c r="J6" s="30"/>
      <c r="K6" s="92"/>
      <c r="N6" s="30"/>
      <c r="O6" s="92"/>
      <c r="S6" s="92"/>
    </row>
    <row r="7" spans="1:27" ht="28.8">
      <c r="A7" s="79" t="str">
        <f>HLOOKUP(Chosen,Hide!$A$287:$C$291,5,FALSE)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0:27" ht="15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0:18" ht="15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K3:M3 O3:Q3 T3:V3 AF3:AH3 X3:AD3 AK3:AN3 AO3:AR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1"/>
  <sheetViews>
    <sheetView workbookViewId="0" topLeftCell="A189">
      <selection activeCell="B203" sqref="B203"/>
    </sheetView>
  </sheetViews>
  <sheetFormatPr defaultColWidth="10.7109375" defaultRowHeight="15"/>
  <cols>
    <col min="1" max="1" width="10.28125" style="0" customWidth="1"/>
    <col min="2" max="2" width="75.421875" style="0" customWidth="1"/>
    <col min="3" max="3" width="73.7109375" style="0" customWidth="1"/>
  </cols>
  <sheetData>
    <row r="1" spans="1:2" ht="15">
      <c r="A1" s="118" t="s">
        <v>271</v>
      </c>
      <c r="B1" s="118"/>
    </row>
    <row r="3" spans="1:3" ht="15">
      <c r="A3" s="1" t="s">
        <v>272</v>
      </c>
      <c r="C3" s="67"/>
    </row>
    <row r="4" ht="15">
      <c r="A4" t="s">
        <v>152</v>
      </c>
    </row>
    <row r="5" ht="15">
      <c r="A5" t="s">
        <v>297</v>
      </c>
    </row>
    <row r="8" ht="15">
      <c r="A8" s="1" t="s">
        <v>273</v>
      </c>
    </row>
    <row r="9" spans="1:3" ht="15">
      <c r="A9">
        <v>1</v>
      </c>
      <c r="B9" t="s">
        <v>152</v>
      </c>
      <c r="C9" t="s">
        <v>297</v>
      </c>
    </row>
    <row r="10" spans="1:3" ht="15">
      <c r="A10">
        <v>2</v>
      </c>
      <c r="B10" t="s">
        <v>154</v>
      </c>
      <c r="C10" t="s">
        <v>153</v>
      </c>
    </row>
    <row r="11" spans="1:3" ht="15">
      <c r="A11">
        <v>3</v>
      </c>
      <c r="B11" s="1" t="s">
        <v>299</v>
      </c>
      <c r="C11" s="1" t="s">
        <v>293</v>
      </c>
    </row>
    <row r="12" spans="1:3" ht="15">
      <c r="A12">
        <v>4</v>
      </c>
      <c r="B12" t="s">
        <v>290</v>
      </c>
      <c r="C12" t="s">
        <v>162</v>
      </c>
    </row>
    <row r="13" spans="1:3" ht="15">
      <c r="A13">
        <v>5</v>
      </c>
      <c r="B13" t="s">
        <v>169</v>
      </c>
      <c r="C13" t="s">
        <v>163</v>
      </c>
    </row>
    <row r="14" spans="1:3" ht="15">
      <c r="A14">
        <v>6</v>
      </c>
      <c r="B14" t="s">
        <v>170</v>
      </c>
      <c r="C14" t="s">
        <v>164</v>
      </c>
    </row>
    <row r="15" ht="15">
      <c r="A15">
        <v>7</v>
      </c>
    </row>
    <row r="16" spans="1:3" ht="15">
      <c r="A16">
        <v>8</v>
      </c>
      <c r="B16" t="s">
        <v>291</v>
      </c>
      <c r="C16" t="s">
        <v>165</v>
      </c>
    </row>
    <row r="17" spans="1:3" ht="15">
      <c r="A17">
        <v>9</v>
      </c>
      <c r="B17" t="s">
        <v>288</v>
      </c>
      <c r="C17" t="s">
        <v>166</v>
      </c>
    </row>
    <row r="18" spans="1:3" ht="15">
      <c r="A18">
        <v>10</v>
      </c>
      <c r="B18" t="s">
        <v>289</v>
      </c>
      <c r="C18" t="s">
        <v>167</v>
      </c>
    </row>
    <row r="19" spans="1:2" ht="15">
      <c r="A19">
        <v>11</v>
      </c>
    </row>
    <row r="20" spans="1:3" ht="15">
      <c r="A20">
        <v>12</v>
      </c>
      <c r="B20" t="s">
        <v>161</v>
      </c>
      <c r="C20" t="s">
        <v>168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133</v>
      </c>
    </row>
    <row r="24" spans="1:3" s="78" customFormat="1" ht="15">
      <c r="A24" s="77" t="s">
        <v>292</v>
      </c>
      <c r="B24" s="77" t="s">
        <v>290</v>
      </c>
      <c r="C24" s="77" t="s">
        <v>162</v>
      </c>
    </row>
    <row r="25" spans="1:3" ht="15">
      <c r="A25">
        <v>1</v>
      </c>
      <c r="B25" t="s">
        <v>152</v>
      </c>
      <c r="C25" t="s">
        <v>297</v>
      </c>
    </row>
    <row r="26" spans="1:3" ht="15">
      <c r="A26">
        <v>2</v>
      </c>
      <c r="B26" s="61" t="s">
        <v>198</v>
      </c>
      <c r="C26" s="36" t="s">
        <v>16</v>
      </c>
    </row>
    <row r="27" spans="1:3" ht="15">
      <c r="A27">
        <v>3</v>
      </c>
      <c r="B27" s="62" t="s">
        <v>215</v>
      </c>
      <c r="C27" s="37" t="s">
        <v>17</v>
      </c>
    </row>
    <row r="28" spans="1:3" ht="15">
      <c r="A28">
        <v>4</v>
      </c>
      <c r="B28" s="62" t="s">
        <v>199</v>
      </c>
      <c r="C28" s="37" t="s">
        <v>18</v>
      </c>
    </row>
    <row r="29" spans="1:3" ht="15">
      <c r="A29">
        <v>5</v>
      </c>
      <c r="B29" s="62" t="s">
        <v>200</v>
      </c>
      <c r="C29" s="37" t="s">
        <v>19</v>
      </c>
    </row>
    <row r="30" spans="1:3" ht="15">
      <c r="A30">
        <v>6</v>
      </c>
      <c r="B30" s="62" t="s">
        <v>216</v>
      </c>
      <c r="C30" s="37" t="s">
        <v>20</v>
      </c>
    </row>
    <row r="31" spans="1:3" ht="15">
      <c r="A31">
        <v>7</v>
      </c>
      <c r="B31" s="63" t="s">
        <v>221</v>
      </c>
      <c r="C31" s="38" t="s">
        <v>21</v>
      </c>
    </row>
    <row r="32" spans="1:3" ht="15">
      <c r="A32">
        <v>8</v>
      </c>
      <c r="B32" s="64" t="s">
        <v>222</v>
      </c>
      <c r="C32" s="39" t="s">
        <v>22</v>
      </c>
    </row>
    <row r="33" spans="1:3" ht="15">
      <c r="A33">
        <v>9</v>
      </c>
      <c r="B33" s="61" t="s">
        <v>201</v>
      </c>
      <c r="C33" s="36" t="s">
        <v>23</v>
      </c>
    </row>
    <row r="34" spans="1:3" ht="15">
      <c r="A34">
        <v>10</v>
      </c>
      <c r="B34" s="65" t="s">
        <v>217</v>
      </c>
      <c r="C34" s="40" t="s">
        <v>24</v>
      </c>
    </row>
    <row r="35" spans="1:3" ht="15">
      <c r="A35">
        <v>11</v>
      </c>
      <c r="B35" s="65" t="s">
        <v>218</v>
      </c>
      <c r="C35" s="40" t="s">
        <v>25</v>
      </c>
    </row>
    <row r="36" spans="1:3" ht="15">
      <c r="A36">
        <v>12</v>
      </c>
      <c r="B36" s="64" t="s">
        <v>202</v>
      </c>
      <c r="C36" s="39" t="s">
        <v>26</v>
      </c>
    </row>
    <row r="37" spans="1:3" ht="15">
      <c r="A37">
        <v>13</v>
      </c>
      <c r="B37" s="65" t="s">
        <v>203</v>
      </c>
      <c r="C37" s="40" t="s">
        <v>27</v>
      </c>
    </row>
    <row r="38" spans="1:3" ht="15">
      <c r="A38">
        <v>14</v>
      </c>
      <c r="B38" s="65" t="s">
        <v>220</v>
      </c>
      <c r="C38" s="40" t="s">
        <v>28</v>
      </c>
    </row>
    <row r="39" spans="1:3" ht="15">
      <c r="A39">
        <v>15</v>
      </c>
      <c r="B39" s="61" t="s">
        <v>204</v>
      </c>
      <c r="C39" s="36" t="s">
        <v>304</v>
      </c>
    </row>
    <row r="40" spans="1:3" ht="15">
      <c r="A40">
        <v>16</v>
      </c>
      <c r="B40" s="61" t="s">
        <v>205</v>
      </c>
      <c r="C40" s="36" t="s">
        <v>29</v>
      </c>
    </row>
    <row r="41" spans="1:3" ht="15">
      <c r="A41">
        <v>17</v>
      </c>
      <c r="B41" s="62" t="s">
        <v>206</v>
      </c>
      <c r="C41" s="37" t="s">
        <v>30</v>
      </c>
    </row>
    <row r="42" spans="1:3" ht="15">
      <c r="A42">
        <v>18</v>
      </c>
      <c r="B42" s="61" t="s">
        <v>207</v>
      </c>
      <c r="C42" s="36" t="s">
        <v>31</v>
      </c>
    </row>
    <row r="43" spans="1:3" ht="28.8">
      <c r="A43">
        <v>19</v>
      </c>
      <c r="B43" s="62" t="s">
        <v>208</v>
      </c>
      <c r="C43" s="37" t="s">
        <v>305</v>
      </c>
    </row>
    <row r="44" spans="1:3" ht="15">
      <c r="A44">
        <v>20</v>
      </c>
      <c r="B44" s="62" t="s">
        <v>209</v>
      </c>
      <c r="C44" s="37" t="s">
        <v>34</v>
      </c>
    </row>
    <row r="45" spans="2:3" ht="15">
      <c r="B45" s="64"/>
      <c r="C45" s="39"/>
    </row>
    <row r="46" spans="1:3" ht="28.8">
      <c r="A46">
        <v>22</v>
      </c>
      <c r="B46" s="64" t="s">
        <v>210</v>
      </c>
      <c r="C46" s="39" t="s">
        <v>306</v>
      </c>
    </row>
    <row r="47" spans="1:3" ht="15">
      <c r="A47">
        <v>23</v>
      </c>
      <c r="B47" s="66" t="s">
        <v>224</v>
      </c>
      <c r="C47" s="41" t="s">
        <v>35</v>
      </c>
    </row>
    <row r="48" spans="1:3" ht="15">
      <c r="A48">
        <v>24</v>
      </c>
      <c r="B48" s="66" t="s">
        <v>223</v>
      </c>
      <c r="C48" s="41" t="s">
        <v>36</v>
      </c>
    </row>
    <row r="49" spans="1:3" ht="15">
      <c r="A49">
        <v>25</v>
      </c>
      <c r="B49" s="66"/>
      <c r="C49" s="41"/>
    </row>
    <row r="50" spans="1:3" ht="15">
      <c r="A50">
        <v>26</v>
      </c>
      <c r="B50" s="36" t="s">
        <v>207</v>
      </c>
      <c r="C50" s="36" t="s">
        <v>31</v>
      </c>
    </row>
    <row r="51" spans="1:3" ht="15">
      <c r="A51">
        <v>27</v>
      </c>
      <c r="B51" s="42" t="s">
        <v>225</v>
      </c>
      <c r="C51" s="42" t="s">
        <v>32</v>
      </c>
    </row>
    <row r="52" spans="1:3" ht="15">
      <c r="A52">
        <v>28</v>
      </c>
      <c r="B52" s="37" t="s">
        <v>211</v>
      </c>
      <c r="C52" s="37" t="s">
        <v>37</v>
      </c>
    </row>
    <row r="53" spans="1:3" ht="43.2">
      <c r="A53">
        <v>29</v>
      </c>
      <c r="B53" s="37" t="s">
        <v>212</v>
      </c>
      <c r="C53" s="37" t="s">
        <v>307</v>
      </c>
    </row>
    <row r="54" spans="1:3" ht="15">
      <c r="A54">
        <v>30</v>
      </c>
      <c r="B54" s="37" t="s">
        <v>226</v>
      </c>
      <c r="C54" s="37" t="s">
        <v>38</v>
      </c>
    </row>
    <row r="55" spans="1:3" ht="15">
      <c r="A55">
        <v>31</v>
      </c>
      <c r="B55" s="36" t="s">
        <v>225</v>
      </c>
      <c r="C55" s="36" t="s">
        <v>32</v>
      </c>
    </row>
    <row r="56" spans="1:3" ht="15">
      <c r="A56">
        <v>32</v>
      </c>
      <c r="B56" s="37" t="s">
        <v>353</v>
      </c>
      <c r="C56" s="37" t="s">
        <v>348</v>
      </c>
    </row>
    <row r="57" spans="1:3" ht="15">
      <c r="A57">
        <v>33</v>
      </c>
      <c r="B57" s="37" t="s">
        <v>354</v>
      </c>
      <c r="C57" s="37" t="s">
        <v>349</v>
      </c>
    </row>
    <row r="58" spans="1:3" ht="15">
      <c r="A58">
        <v>34</v>
      </c>
      <c r="B58" s="40"/>
      <c r="C58" s="40"/>
    </row>
    <row r="59" spans="1:3" ht="15">
      <c r="A59">
        <v>35</v>
      </c>
      <c r="B59" s="42" t="s">
        <v>227</v>
      </c>
      <c r="C59" s="42" t="s">
        <v>39</v>
      </c>
    </row>
    <row r="60" spans="1:3" ht="28.8">
      <c r="A60">
        <v>36</v>
      </c>
      <c r="B60" s="37" t="s">
        <v>213</v>
      </c>
      <c r="C60" s="37" t="s">
        <v>309</v>
      </c>
    </row>
    <row r="61" spans="1:3" ht="15">
      <c r="A61">
        <v>37</v>
      </c>
      <c r="B61" s="37" t="s">
        <v>214</v>
      </c>
      <c r="C61" s="37" t="s">
        <v>308</v>
      </c>
    </row>
    <row r="62" spans="2:3" ht="15">
      <c r="B62" s="66"/>
      <c r="C62" s="41"/>
    </row>
    <row r="63" spans="1:3" s="78" customFormat="1" ht="15">
      <c r="A63" s="77" t="s">
        <v>274</v>
      </c>
      <c r="B63" s="77" t="s">
        <v>169</v>
      </c>
      <c r="C63" s="77" t="s">
        <v>163</v>
      </c>
    </row>
    <row r="64" spans="1:3" ht="15">
      <c r="A64">
        <v>1</v>
      </c>
      <c r="B64" t="s">
        <v>152</v>
      </c>
      <c r="C64" t="s">
        <v>297</v>
      </c>
    </row>
    <row r="65" spans="1:3" ht="15">
      <c r="A65">
        <v>2</v>
      </c>
      <c r="B65" s="68" t="s">
        <v>180</v>
      </c>
      <c r="C65" s="68" t="s">
        <v>40</v>
      </c>
    </row>
    <row r="66" spans="1:3" ht="15">
      <c r="A66">
        <v>3</v>
      </c>
      <c r="B66" s="68" t="s">
        <v>181</v>
      </c>
      <c r="C66" s="68" t="s">
        <v>41</v>
      </c>
    </row>
    <row r="67" spans="1:3" ht="15">
      <c r="A67">
        <v>4</v>
      </c>
      <c r="B67" s="68" t="s">
        <v>182</v>
      </c>
      <c r="C67" s="68" t="s">
        <v>42</v>
      </c>
    </row>
    <row r="68" spans="1:3" ht="15">
      <c r="A68">
        <v>5</v>
      </c>
      <c r="B68" s="68" t="s">
        <v>176</v>
      </c>
      <c r="C68" s="68" t="s">
        <v>43</v>
      </c>
    </row>
    <row r="69" spans="1:3" ht="15">
      <c r="A69">
        <v>6</v>
      </c>
      <c r="B69" s="63" t="s">
        <v>183</v>
      </c>
      <c r="C69" s="63" t="s">
        <v>44</v>
      </c>
    </row>
    <row r="70" spans="1:3" ht="15">
      <c r="A70">
        <v>7</v>
      </c>
      <c r="B70" s="69" t="s">
        <v>171</v>
      </c>
      <c r="C70" s="69" t="s">
        <v>45</v>
      </c>
    </row>
    <row r="71" spans="1:3" ht="15">
      <c r="A71">
        <v>8</v>
      </c>
      <c r="B71" s="68" t="s">
        <v>177</v>
      </c>
      <c r="C71" s="68" t="s">
        <v>46</v>
      </c>
    </row>
    <row r="72" spans="1:3" ht="15">
      <c r="A72">
        <v>9</v>
      </c>
      <c r="B72" s="68" t="s">
        <v>178</v>
      </c>
      <c r="C72" s="68" t="s">
        <v>47</v>
      </c>
    </row>
    <row r="73" spans="1:3" ht="15">
      <c r="A73">
        <v>10</v>
      </c>
      <c r="B73" s="68" t="s">
        <v>176</v>
      </c>
      <c r="C73" s="68" t="s">
        <v>43</v>
      </c>
    </row>
    <row r="74" spans="1:3" ht="15">
      <c r="A74">
        <v>11</v>
      </c>
      <c r="B74" s="68" t="s">
        <v>179</v>
      </c>
      <c r="C74" s="68" t="s">
        <v>48</v>
      </c>
    </row>
    <row r="75" spans="1:3" ht="15">
      <c r="A75">
        <v>12</v>
      </c>
      <c r="B75" s="69" t="s">
        <v>172</v>
      </c>
      <c r="C75" s="69" t="s">
        <v>49</v>
      </c>
    </row>
    <row r="76" spans="1:3" ht="15">
      <c r="A76">
        <v>13</v>
      </c>
      <c r="B76" s="70" t="s">
        <v>175</v>
      </c>
      <c r="C76" s="70" t="s">
        <v>50</v>
      </c>
    </row>
    <row r="77" spans="1:3" ht="15">
      <c r="A77">
        <v>14</v>
      </c>
      <c r="B77" s="71" t="s">
        <v>184</v>
      </c>
      <c r="C77" s="71" t="s">
        <v>51</v>
      </c>
    </row>
    <row r="78" spans="1:3" ht="15">
      <c r="A78">
        <v>15</v>
      </c>
      <c r="B78" s="71" t="s">
        <v>185</v>
      </c>
      <c r="C78" s="71" t="s">
        <v>52</v>
      </c>
    </row>
    <row r="79" spans="1:3" ht="15">
      <c r="A79">
        <v>16</v>
      </c>
      <c r="B79" s="72" t="s">
        <v>286</v>
      </c>
      <c r="C79" s="71" t="s">
        <v>53</v>
      </c>
    </row>
    <row r="80" spans="1:3" ht="15">
      <c r="A80">
        <v>17</v>
      </c>
      <c r="B80" s="71" t="s">
        <v>192</v>
      </c>
      <c r="C80" s="71" t="s">
        <v>54</v>
      </c>
    </row>
    <row r="81" spans="1:3" ht="15">
      <c r="A81">
        <v>18</v>
      </c>
      <c r="B81" s="71" t="s">
        <v>197</v>
      </c>
      <c r="C81" s="71" t="s">
        <v>55</v>
      </c>
    </row>
    <row r="82" spans="1:3" ht="15">
      <c r="A82">
        <v>19</v>
      </c>
      <c r="B82" s="73" t="s">
        <v>193</v>
      </c>
      <c r="C82" s="73" t="s">
        <v>310</v>
      </c>
    </row>
    <row r="83" spans="1:3" ht="15">
      <c r="A83">
        <v>20</v>
      </c>
      <c r="B83" s="74" t="s">
        <v>194</v>
      </c>
      <c r="C83" s="74" t="s">
        <v>56</v>
      </c>
    </row>
    <row r="84" spans="1:3" ht="15">
      <c r="A84">
        <v>21</v>
      </c>
      <c r="B84" s="71" t="s">
        <v>195</v>
      </c>
      <c r="C84" s="71" t="s">
        <v>57</v>
      </c>
    </row>
    <row r="85" spans="1:3" ht="15">
      <c r="A85">
        <v>22</v>
      </c>
      <c r="B85" s="71" t="s">
        <v>196</v>
      </c>
      <c r="C85" s="71" t="s">
        <v>58</v>
      </c>
    </row>
    <row r="86" spans="1:3" ht="15">
      <c r="A86">
        <v>23</v>
      </c>
      <c r="B86" s="71" t="s">
        <v>188</v>
      </c>
      <c r="C86" s="71" t="s">
        <v>62</v>
      </c>
    </row>
    <row r="87" spans="1:3" ht="15">
      <c r="A87">
        <v>24</v>
      </c>
      <c r="B87" s="71" t="s">
        <v>186</v>
      </c>
      <c r="C87" s="71" t="s">
        <v>59</v>
      </c>
    </row>
    <row r="88" spans="1:3" ht="15">
      <c r="A88">
        <v>25</v>
      </c>
      <c r="B88" s="71" t="s">
        <v>187</v>
      </c>
      <c r="C88" s="71" t="s">
        <v>60</v>
      </c>
    </row>
    <row r="89" spans="1:3" ht="15">
      <c r="A89">
        <v>26</v>
      </c>
      <c r="B89" s="74" t="s">
        <v>173</v>
      </c>
      <c r="C89" s="74" t="s">
        <v>61</v>
      </c>
    </row>
    <row r="90" spans="1:3" ht="15">
      <c r="A90">
        <v>27</v>
      </c>
      <c r="B90" s="71" t="s">
        <v>188</v>
      </c>
      <c r="C90" s="71" t="s">
        <v>62</v>
      </c>
    </row>
    <row r="91" spans="1:3" ht="15">
      <c r="A91">
        <v>28</v>
      </c>
      <c r="B91" s="71" t="s">
        <v>186</v>
      </c>
      <c r="C91" s="71" t="s">
        <v>59</v>
      </c>
    </row>
    <row r="92" spans="1:3" ht="15">
      <c r="A92">
        <v>29</v>
      </c>
      <c r="B92" s="71" t="s">
        <v>189</v>
      </c>
      <c r="C92" s="71" t="s">
        <v>63</v>
      </c>
    </row>
    <row r="93" spans="1:3" ht="15">
      <c r="A93">
        <v>30</v>
      </c>
      <c r="B93" s="71" t="s">
        <v>190</v>
      </c>
      <c r="C93" s="71" t="s">
        <v>64</v>
      </c>
    </row>
    <row r="94" spans="1:3" ht="15">
      <c r="A94">
        <v>31</v>
      </c>
      <c r="B94" s="71" t="s">
        <v>187</v>
      </c>
      <c r="C94" s="71" t="s">
        <v>60</v>
      </c>
    </row>
    <row r="95" spans="1:3" ht="15">
      <c r="A95">
        <v>32</v>
      </c>
      <c r="B95" s="74" t="s">
        <v>191</v>
      </c>
      <c r="C95" s="74" t="s">
        <v>65</v>
      </c>
    </row>
    <row r="96" spans="1:3" ht="15">
      <c r="A96">
        <v>33</v>
      </c>
      <c r="B96" s="74" t="s">
        <v>174</v>
      </c>
      <c r="C96" s="74" t="s">
        <v>66</v>
      </c>
    </row>
    <row r="97" spans="1:3" ht="15">
      <c r="A97">
        <v>34</v>
      </c>
      <c r="B97" s="75" t="s">
        <v>279</v>
      </c>
      <c r="C97" s="75" t="s">
        <v>67</v>
      </c>
    </row>
    <row r="98" spans="1:3" ht="15">
      <c r="A98">
        <v>35</v>
      </c>
      <c r="B98" s="71" t="s">
        <v>312</v>
      </c>
      <c r="C98" s="71" t="s">
        <v>300</v>
      </c>
    </row>
    <row r="99" spans="1:3" ht="15">
      <c r="A99">
        <v>36</v>
      </c>
      <c r="B99" s="89" t="s">
        <v>317</v>
      </c>
      <c r="C99" t="s">
        <v>318</v>
      </c>
    </row>
    <row r="100" spans="1:3" s="78" customFormat="1" ht="15">
      <c r="A100" s="77" t="s">
        <v>170</v>
      </c>
      <c r="B100" s="77" t="s">
        <v>170</v>
      </c>
      <c r="C100" s="77" t="s">
        <v>164</v>
      </c>
    </row>
    <row r="101" spans="1:3" ht="15">
      <c r="A101">
        <v>1</v>
      </c>
      <c r="B101" t="s">
        <v>152</v>
      </c>
      <c r="C101" t="s">
        <v>297</v>
      </c>
    </row>
    <row r="102" spans="1:3" ht="15">
      <c r="A102">
        <v>2</v>
      </c>
      <c r="B102" s="49" t="s">
        <v>228</v>
      </c>
      <c r="C102" s="49" t="s">
        <v>68</v>
      </c>
    </row>
    <row r="103" spans="1:3" ht="15">
      <c r="A103">
        <v>3</v>
      </c>
      <c r="B103" s="50" t="s">
        <v>229</v>
      </c>
      <c r="C103" s="50" t="s">
        <v>106</v>
      </c>
    </row>
    <row r="104" spans="1:3" ht="15">
      <c r="A104">
        <v>4</v>
      </c>
      <c r="B104" s="51" t="s">
        <v>236</v>
      </c>
      <c r="C104" s="51" t="s">
        <v>69</v>
      </c>
    </row>
    <row r="105" spans="1:3" ht="15">
      <c r="A105">
        <v>5</v>
      </c>
      <c r="B105" s="51" t="s">
        <v>237</v>
      </c>
      <c r="C105" s="51" t="s">
        <v>70</v>
      </c>
    </row>
    <row r="106" spans="1:3" ht="15">
      <c r="A106">
        <v>6</v>
      </c>
      <c r="B106" s="51" t="s">
        <v>206</v>
      </c>
      <c r="C106" s="51" t="s">
        <v>30</v>
      </c>
    </row>
    <row r="107" spans="1:3" ht="15">
      <c r="A107">
        <v>7</v>
      </c>
      <c r="B107" s="51" t="s">
        <v>231</v>
      </c>
      <c r="C107" s="51" t="s">
        <v>71</v>
      </c>
    </row>
    <row r="108" spans="1:3" ht="15">
      <c r="A108">
        <v>8</v>
      </c>
      <c r="B108" s="51" t="s">
        <v>281</v>
      </c>
      <c r="C108" s="51" t="s">
        <v>72</v>
      </c>
    </row>
    <row r="109" spans="1:3" ht="15">
      <c r="A109">
        <v>9</v>
      </c>
      <c r="B109" s="51" t="s">
        <v>232</v>
      </c>
      <c r="C109" s="51" t="s">
        <v>73</v>
      </c>
    </row>
    <row r="110" spans="1:3" ht="15">
      <c r="A110">
        <v>10</v>
      </c>
      <c r="B110" s="51" t="s">
        <v>238</v>
      </c>
      <c r="C110" s="51" t="s">
        <v>74</v>
      </c>
    </row>
    <row r="111" spans="1:3" ht="15">
      <c r="A111">
        <v>11</v>
      </c>
      <c r="B111" s="51" t="s">
        <v>239</v>
      </c>
      <c r="C111" s="51" t="s">
        <v>75</v>
      </c>
    </row>
    <row r="112" spans="1:3" ht="15">
      <c r="A112">
        <v>12</v>
      </c>
      <c r="B112" s="51" t="s">
        <v>240</v>
      </c>
      <c r="C112" s="51" t="s">
        <v>76</v>
      </c>
    </row>
    <row r="113" spans="1:3" ht="15">
      <c r="A113">
        <v>13</v>
      </c>
      <c r="B113" s="51" t="s">
        <v>230</v>
      </c>
      <c r="C113" s="51" t="s">
        <v>77</v>
      </c>
    </row>
    <row r="114" spans="1:3" ht="15">
      <c r="A114">
        <v>14</v>
      </c>
      <c r="B114" s="52" t="s">
        <v>241</v>
      </c>
      <c r="C114" s="52" t="s">
        <v>78</v>
      </c>
    </row>
    <row r="115" spans="1:3" ht="15">
      <c r="A115">
        <v>15</v>
      </c>
      <c r="B115" s="52" t="s">
        <v>242</v>
      </c>
      <c r="C115" s="52" t="s">
        <v>79</v>
      </c>
    </row>
    <row r="116" spans="1:3" ht="15">
      <c r="A116">
        <v>16</v>
      </c>
      <c r="B116" s="52" t="s">
        <v>247</v>
      </c>
      <c r="C116" s="52" t="s">
        <v>127</v>
      </c>
    </row>
    <row r="117" spans="1:3" ht="15">
      <c r="A117">
        <v>17</v>
      </c>
      <c r="B117" s="51" t="s">
        <v>243</v>
      </c>
      <c r="C117" s="51" t="s">
        <v>126</v>
      </c>
    </row>
    <row r="118" spans="1:3" ht="15">
      <c r="A118">
        <v>18</v>
      </c>
      <c r="B118" s="51" t="s">
        <v>244</v>
      </c>
      <c r="C118" s="51" t="s">
        <v>80</v>
      </c>
    </row>
    <row r="119" spans="1:3" ht="15">
      <c r="A119">
        <v>19</v>
      </c>
      <c r="B119" s="51" t="s">
        <v>248</v>
      </c>
      <c r="C119" s="51" t="s">
        <v>55</v>
      </c>
    </row>
    <row r="120" spans="1:3" ht="15">
      <c r="A120">
        <v>20</v>
      </c>
      <c r="B120" s="52" t="s">
        <v>245</v>
      </c>
      <c r="C120" s="52" t="s">
        <v>81</v>
      </c>
    </row>
    <row r="121" spans="1:3" ht="15">
      <c r="A121">
        <v>21</v>
      </c>
      <c r="B121" s="51" t="s">
        <v>246</v>
      </c>
      <c r="C121" s="51" t="s">
        <v>82</v>
      </c>
    </row>
    <row r="122" spans="1:3" ht="15">
      <c r="A122">
        <v>22</v>
      </c>
      <c r="B122" s="51" t="s">
        <v>249</v>
      </c>
      <c r="C122" s="51" t="s">
        <v>83</v>
      </c>
    </row>
    <row r="123" spans="1:3" ht="15">
      <c r="A123">
        <v>23</v>
      </c>
      <c r="B123" s="51" t="s">
        <v>219</v>
      </c>
      <c r="C123" s="51" t="s">
        <v>84</v>
      </c>
    </row>
    <row r="124" spans="1:3" ht="15">
      <c r="A124">
        <v>24</v>
      </c>
      <c r="B124" s="50"/>
      <c r="C124" s="50"/>
    </row>
    <row r="125" spans="1:3" ht="15">
      <c r="A125">
        <v>25</v>
      </c>
      <c r="B125" s="50" t="s">
        <v>233</v>
      </c>
      <c r="C125" s="50" t="s">
        <v>85</v>
      </c>
    </row>
    <row r="126" spans="1:3" ht="15">
      <c r="A126">
        <v>26</v>
      </c>
      <c r="B126" s="51" t="s">
        <v>250</v>
      </c>
      <c r="C126" s="51" t="s">
        <v>86</v>
      </c>
    </row>
    <row r="127" spans="1:3" ht="15">
      <c r="A127">
        <v>27</v>
      </c>
      <c r="B127" s="51" t="s">
        <v>251</v>
      </c>
      <c r="C127" s="51" t="s">
        <v>87</v>
      </c>
    </row>
    <row r="128" spans="1:3" ht="15">
      <c r="A128">
        <v>28</v>
      </c>
      <c r="B128" s="51" t="s">
        <v>252</v>
      </c>
      <c r="C128" s="51" t="s">
        <v>88</v>
      </c>
    </row>
    <row r="129" spans="1:3" ht="15">
      <c r="A129">
        <v>29</v>
      </c>
      <c r="B129" s="51" t="s">
        <v>253</v>
      </c>
      <c r="C129" s="51" t="s">
        <v>89</v>
      </c>
    </row>
    <row r="130" spans="1:3" ht="15">
      <c r="A130">
        <v>30</v>
      </c>
      <c r="B130" s="52" t="s">
        <v>254</v>
      </c>
      <c r="C130" s="52" t="s">
        <v>90</v>
      </c>
    </row>
    <row r="131" spans="1:3" ht="15">
      <c r="A131">
        <v>31</v>
      </c>
      <c r="B131" s="60" t="s">
        <v>332</v>
      </c>
      <c r="C131" s="60" t="s">
        <v>329</v>
      </c>
    </row>
    <row r="132" spans="1:3" ht="15">
      <c r="A132">
        <v>32</v>
      </c>
      <c r="B132" s="51" t="s">
        <v>343</v>
      </c>
      <c r="C132" s="51" t="s">
        <v>344</v>
      </c>
    </row>
    <row r="133" spans="1:3" ht="15">
      <c r="A133">
        <v>33</v>
      </c>
      <c r="B133" s="51" t="s">
        <v>261</v>
      </c>
      <c r="C133" s="51" t="s">
        <v>92</v>
      </c>
    </row>
    <row r="134" spans="1:3" ht="15">
      <c r="A134">
        <v>34</v>
      </c>
      <c r="B134" s="60" t="s">
        <v>331</v>
      </c>
      <c r="C134" s="51" t="s">
        <v>330</v>
      </c>
    </row>
    <row r="135" spans="1:3" ht="15">
      <c r="A135">
        <v>35</v>
      </c>
      <c r="B135" s="51" t="s">
        <v>262</v>
      </c>
      <c r="C135" s="51" t="s">
        <v>128</v>
      </c>
    </row>
    <row r="136" spans="1:3" ht="15">
      <c r="A136">
        <v>36</v>
      </c>
      <c r="B136" s="51" t="s">
        <v>263</v>
      </c>
      <c r="C136" s="51" t="s">
        <v>93</v>
      </c>
    </row>
    <row r="137" spans="1:3" ht="15">
      <c r="A137">
        <v>37</v>
      </c>
      <c r="B137" s="50"/>
      <c r="C137" s="50"/>
    </row>
    <row r="138" spans="1:3" ht="15">
      <c r="A138">
        <v>38</v>
      </c>
      <c r="B138" s="50" t="s">
        <v>234</v>
      </c>
      <c r="C138" s="50" t="s">
        <v>94</v>
      </c>
    </row>
    <row r="139" spans="1:3" ht="15">
      <c r="A139">
        <v>39</v>
      </c>
      <c r="B139" s="51" t="s">
        <v>264</v>
      </c>
      <c r="C139" s="51" t="s">
        <v>95</v>
      </c>
    </row>
    <row r="140" spans="1:3" ht="15">
      <c r="A140">
        <v>40</v>
      </c>
      <c r="B140" s="51" t="s">
        <v>265</v>
      </c>
      <c r="C140" s="51" t="s">
        <v>96</v>
      </c>
    </row>
    <row r="141" spans="1:3" ht="15">
      <c r="A141">
        <v>41</v>
      </c>
      <c r="B141" s="52" t="s">
        <v>266</v>
      </c>
      <c r="C141" s="52" t="s">
        <v>97</v>
      </c>
    </row>
    <row r="142" spans="1:3" ht="15">
      <c r="A142">
        <v>42</v>
      </c>
      <c r="B142" s="51" t="s">
        <v>352</v>
      </c>
      <c r="C142" s="51" t="s">
        <v>351</v>
      </c>
    </row>
    <row r="143" spans="1:3" ht="15">
      <c r="A143">
        <v>43</v>
      </c>
      <c r="B143" s="51" t="s">
        <v>256</v>
      </c>
      <c r="C143" s="51" t="s">
        <v>98</v>
      </c>
    </row>
    <row r="144" spans="1:3" ht="15">
      <c r="A144">
        <v>44</v>
      </c>
      <c r="B144" s="51" t="s">
        <v>257</v>
      </c>
      <c r="C144" s="51" t="s">
        <v>99</v>
      </c>
    </row>
    <row r="145" spans="1:3" ht="15">
      <c r="A145">
        <v>45</v>
      </c>
      <c r="B145" s="51" t="s">
        <v>258</v>
      </c>
      <c r="C145" s="51" t="s">
        <v>100</v>
      </c>
    </row>
    <row r="146" spans="1:3" ht="15">
      <c r="A146">
        <v>46</v>
      </c>
      <c r="B146" s="51" t="s">
        <v>259</v>
      </c>
      <c r="C146" s="51" t="s">
        <v>101</v>
      </c>
    </row>
    <row r="147" spans="1:3" ht="15">
      <c r="A147">
        <v>47</v>
      </c>
      <c r="B147" s="51" t="s">
        <v>355</v>
      </c>
      <c r="C147" s="51" t="s">
        <v>303</v>
      </c>
    </row>
    <row r="148" spans="1:3" ht="15">
      <c r="A148">
        <v>48</v>
      </c>
      <c r="B148" s="51" t="s">
        <v>356</v>
      </c>
      <c r="C148" s="51" t="s">
        <v>333</v>
      </c>
    </row>
    <row r="149" spans="1:3" ht="15">
      <c r="A149">
        <v>49</v>
      </c>
      <c r="B149" s="50"/>
      <c r="C149" s="50"/>
    </row>
    <row r="150" spans="1:3" ht="15">
      <c r="A150">
        <v>50</v>
      </c>
      <c r="B150" s="50" t="s">
        <v>260</v>
      </c>
      <c r="C150" s="50" t="s">
        <v>102</v>
      </c>
    </row>
    <row r="151" spans="1:3" ht="15">
      <c r="A151">
        <v>51</v>
      </c>
      <c r="B151" s="51" t="s">
        <v>235</v>
      </c>
      <c r="C151" s="51" t="s">
        <v>103</v>
      </c>
    </row>
    <row r="152" spans="1:3" ht="15">
      <c r="A152">
        <v>52</v>
      </c>
      <c r="B152" s="51" t="s">
        <v>267</v>
      </c>
      <c r="C152" s="51" t="s">
        <v>104</v>
      </c>
    </row>
    <row r="153" spans="1:3" ht="15">
      <c r="A153">
        <v>53</v>
      </c>
      <c r="B153" s="50" t="s">
        <v>268</v>
      </c>
      <c r="C153" s="50" t="s">
        <v>105</v>
      </c>
    </row>
    <row r="154" spans="1:3" ht="15">
      <c r="A154">
        <v>54</v>
      </c>
      <c r="B154" t="s">
        <v>313</v>
      </c>
      <c r="C154" s="51" t="s">
        <v>302</v>
      </c>
    </row>
    <row r="156" spans="2:3" s="77" customFormat="1" ht="15">
      <c r="B156" s="77" t="s">
        <v>291</v>
      </c>
      <c r="C156" s="77" t="s">
        <v>165</v>
      </c>
    </row>
    <row r="157" spans="1:3" ht="15">
      <c r="A157">
        <v>1</v>
      </c>
      <c r="B157" t="s">
        <v>152</v>
      </c>
      <c r="C157" t="s">
        <v>297</v>
      </c>
    </row>
    <row r="158" spans="1:3" ht="15">
      <c r="A158">
        <v>2</v>
      </c>
      <c r="B158" s="36" t="s">
        <v>198</v>
      </c>
      <c r="C158" s="36" t="s">
        <v>16</v>
      </c>
    </row>
    <row r="159" spans="1:3" ht="15">
      <c r="A159">
        <v>3</v>
      </c>
      <c r="B159" s="37" t="s">
        <v>215</v>
      </c>
      <c r="C159" s="37" t="s">
        <v>17</v>
      </c>
    </row>
    <row r="160" spans="1:3" ht="15">
      <c r="A160">
        <v>4</v>
      </c>
      <c r="B160" s="37" t="s">
        <v>199</v>
      </c>
      <c r="C160" s="37" t="s">
        <v>18</v>
      </c>
    </row>
    <row r="161" spans="1:3" ht="15">
      <c r="A161">
        <v>5</v>
      </c>
      <c r="B161" s="37" t="s">
        <v>200</v>
      </c>
      <c r="C161" s="37" t="s">
        <v>19</v>
      </c>
    </row>
    <row r="162" spans="1:3" ht="15">
      <c r="A162">
        <v>6</v>
      </c>
      <c r="B162" s="37" t="s">
        <v>216</v>
      </c>
      <c r="C162" s="37" t="s">
        <v>20</v>
      </c>
    </row>
    <row r="163" spans="1:3" ht="15">
      <c r="A163">
        <v>7</v>
      </c>
      <c r="B163" s="38" t="s">
        <v>221</v>
      </c>
      <c r="C163" s="38" t="s">
        <v>21</v>
      </c>
    </row>
    <row r="164" spans="1:3" ht="15">
      <c r="A164">
        <v>8</v>
      </c>
      <c r="B164" s="39" t="s">
        <v>222</v>
      </c>
      <c r="C164" s="39" t="s">
        <v>22</v>
      </c>
    </row>
    <row r="165" spans="1:3" ht="15">
      <c r="A165">
        <v>9</v>
      </c>
      <c r="B165" s="36" t="s">
        <v>201</v>
      </c>
      <c r="C165" s="36" t="s">
        <v>23</v>
      </c>
    </row>
    <row r="166" spans="1:3" ht="15">
      <c r="A166">
        <v>10</v>
      </c>
      <c r="B166" s="40" t="s">
        <v>217</v>
      </c>
      <c r="C166" s="40" t="s">
        <v>24</v>
      </c>
    </row>
    <row r="167" spans="1:3" ht="15">
      <c r="A167">
        <v>11</v>
      </c>
      <c r="B167" s="40" t="s">
        <v>218</v>
      </c>
      <c r="C167" s="40" t="s">
        <v>25</v>
      </c>
    </row>
    <row r="168" spans="1:3" ht="15">
      <c r="A168">
        <v>12</v>
      </c>
      <c r="B168" s="39" t="s">
        <v>202</v>
      </c>
      <c r="C168" s="39" t="s">
        <v>26</v>
      </c>
    </row>
    <row r="169" spans="1:3" ht="15">
      <c r="A169">
        <v>13</v>
      </c>
      <c r="B169" s="40" t="s">
        <v>203</v>
      </c>
      <c r="C169" s="40" t="s">
        <v>27</v>
      </c>
    </row>
    <row r="170" spans="1:3" ht="15">
      <c r="A170">
        <v>14</v>
      </c>
      <c r="B170" s="40" t="s">
        <v>220</v>
      </c>
      <c r="C170" s="40" t="s">
        <v>28</v>
      </c>
    </row>
    <row r="171" spans="1:3" ht="15">
      <c r="A171">
        <v>15</v>
      </c>
      <c r="B171" s="36" t="s">
        <v>204</v>
      </c>
      <c r="C171" s="36" t="s">
        <v>304</v>
      </c>
    </row>
    <row r="172" spans="1:3" ht="15">
      <c r="A172">
        <v>16</v>
      </c>
      <c r="B172" s="36" t="s">
        <v>205</v>
      </c>
      <c r="C172" s="36" t="s">
        <v>29</v>
      </c>
    </row>
    <row r="173" spans="1:3" ht="15">
      <c r="A173">
        <v>17</v>
      </c>
      <c r="B173" s="37" t="s">
        <v>206</v>
      </c>
      <c r="C173" s="37" t="s">
        <v>30</v>
      </c>
    </row>
    <row r="174" spans="1:3" ht="15">
      <c r="A174">
        <v>18</v>
      </c>
      <c r="B174" s="36" t="s">
        <v>207</v>
      </c>
      <c r="C174" s="36" t="s">
        <v>31</v>
      </c>
    </row>
    <row r="175" spans="1:3" ht="15">
      <c r="A175">
        <v>19</v>
      </c>
      <c r="B175" s="37" t="s">
        <v>225</v>
      </c>
      <c r="C175" s="37" t="s">
        <v>33</v>
      </c>
    </row>
    <row r="176" spans="1:3" ht="15">
      <c r="A176">
        <v>20</v>
      </c>
      <c r="B176" s="36" t="s">
        <v>227</v>
      </c>
      <c r="C176" s="36" t="s">
        <v>39</v>
      </c>
    </row>
    <row r="177" spans="1:3" ht="15">
      <c r="A177">
        <v>21</v>
      </c>
      <c r="B177" s="53" t="s">
        <v>269</v>
      </c>
      <c r="C177" s="53" t="s">
        <v>117</v>
      </c>
    </row>
    <row r="178" spans="1:3" ht="15">
      <c r="A178">
        <v>22</v>
      </c>
      <c r="B178" s="53" t="s">
        <v>270</v>
      </c>
      <c r="C178" s="53" t="s">
        <v>118</v>
      </c>
    </row>
    <row r="180" spans="2:3" s="77" customFormat="1" ht="15">
      <c r="B180" s="77" t="s">
        <v>288</v>
      </c>
      <c r="C180" s="77" t="s">
        <v>166</v>
      </c>
    </row>
    <row r="181" spans="1:3" ht="15">
      <c r="A181">
        <v>1</v>
      </c>
      <c r="B181" t="s">
        <v>152</v>
      </c>
      <c r="C181" t="s">
        <v>297</v>
      </c>
    </row>
    <row r="182" spans="1:3" ht="15">
      <c r="A182">
        <v>2</v>
      </c>
      <c r="B182" s="43" t="s">
        <v>180</v>
      </c>
      <c r="C182" s="43" t="s">
        <v>40</v>
      </c>
    </row>
    <row r="183" spans="1:3" ht="15">
      <c r="A183">
        <v>3</v>
      </c>
      <c r="B183" s="43" t="s">
        <v>181</v>
      </c>
      <c r="C183" s="43" t="s">
        <v>41</v>
      </c>
    </row>
    <row r="184" spans="1:3" ht="15">
      <c r="A184">
        <v>4</v>
      </c>
      <c r="B184" s="43" t="s">
        <v>182</v>
      </c>
      <c r="C184" s="43" t="s">
        <v>42</v>
      </c>
    </row>
    <row r="185" spans="1:3" ht="15">
      <c r="A185">
        <v>5</v>
      </c>
      <c r="B185" s="43" t="s">
        <v>176</v>
      </c>
      <c r="C185" s="43" t="s">
        <v>43</v>
      </c>
    </row>
    <row r="186" spans="1:3" ht="15">
      <c r="A186">
        <v>6</v>
      </c>
      <c r="B186" s="43" t="s">
        <v>275</v>
      </c>
      <c r="C186" s="43" t="s">
        <v>115</v>
      </c>
    </row>
    <row r="187" spans="1:3" ht="15">
      <c r="A187">
        <v>7</v>
      </c>
      <c r="B187" s="43" t="s">
        <v>183</v>
      </c>
      <c r="C187" s="38" t="s">
        <v>44</v>
      </c>
    </row>
    <row r="188" spans="1:3" ht="15">
      <c r="A188">
        <v>8</v>
      </c>
      <c r="B188" s="44" t="s">
        <v>171</v>
      </c>
      <c r="C188" s="44" t="s">
        <v>45</v>
      </c>
    </row>
    <row r="189" spans="1:3" ht="15">
      <c r="A189">
        <v>9</v>
      </c>
      <c r="B189" s="43" t="s">
        <v>177</v>
      </c>
      <c r="C189" s="43" t="s">
        <v>46</v>
      </c>
    </row>
    <row r="190" spans="1:3" ht="15">
      <c r="A190">
        <v>10</v>
      </c>
      <c r="B190" s="43" t="s">
        <v>276</v>
      </c>
      <c r="C190" s="43" t="s">
        <v>47</v>
      </c>
    </row>
    <row r="191" spans="1:3" ht="15">
      <c r="A191">
        <v>11</v>
      </c>
      <c r="B191" s="43" t="s">
        <v>277</v>
      </c>
      <c r="C191" s="43" t="s">
        <v>132</v>
      </c>
    </row>
    <row r="192" spans="1:3" ht="15">
      <c r="A192">
        <v>12</v>
      </c>
      <c r="B192" s="43" t="s">
        <v>176</v>
      </c>
      <c r="C192" s="43" t="s">
        <v>43</v>
      </c>
    </row>
    <row r="193" spans="1:3" ht="15">
      <c r="A193">
        <v>13</v>
      </c>
      <c r="B193" s="43" t="s">
        <v>179</v>
      </c>
      <c r="C193" s="43" t="s">
        <v>48</v>
      </c>
    </row>
    <row r="194" spans="1:3" ht="15">
      <c r="A194">
        <v>14</v>
      </c>
      <c r="B194" s="44" t="s">
        <v>172</v>
      </c>
      <c r="C194" s="44" t="s">
        <v>49</v>
      </c>
    </row>
    <row r="195" spans="1:3" ht="15">
      <c r="A195">
        <v>15</v>
      </c>
      <c r="B195" s="45" t="s">
        <v>175</v>
      </c>
      <c r="C195" s="45" t="s">
        <v>50</v>
      </c>
    </row>
    <row r="196" spans="1:3" ht="15">
      <c r="A196">
        <v>16</v>
      </c>
      <c r="B196" s="59" t="s">
        <v>184</v>
      </c>
      <c r="C196" s="46" t="s">
        <v>51</v>
      </c>
    </row>
    <row r="197" spans="1:3" ht="15">
      <c r="A197">
        <v>17</v>
      </c>
      <c r="B197" s="59" t="s">
        <v>185</v>
      </c>
      <c r="C197" s="46" t="s">
        <v>52</v>
      </c>
    </row>
    <row r="198" spans="1:3" ht="15">
      <c r="A198">
        <v>18</v>
      </c>
      <c r="B198" s="59" t="s">
        <v>286</v>
      </c>
      <c r="C198" s="46" t="s">
        <v>53</v>
      </c>
    </row>
    <row r="199" spans="1:3" ht="15">
      <c r="A199">
        <v>19</v>
      </c>
      <c r="B199" s="59" t="s">
        <v>192</v>
      </c>
      <c r="C199" s="46" t="s">
        <v>54</v>
      </c>
    </row>
    <row r="200" spans="1:3" ht="15">
      <c r="A200">
        <v>20</v>
      </c>
      <c r="B200" s="48" t="s">
        <v>278</v>
      </c>
      <c r="C200" s="47" t="s">
        <v>116</v>
      </c>
    </row>
    <row r="201" spans="1:3" ht="15">
      <c r="A201">
        <v>21</v>
      </c>
      <c r="B201" s="59" t="s">
        <v>195</v>
      </c>
      <c r="C201" s="46" t="s">
        <v>57</v>
      </c>
    </row>
    <row r="202" spans="1:3" ht="15">
      <c r="A202">
        <v>22</v>
      </c>
      <c r="B202" s="59" t="s">
        <v>196</v>
      </c>
      <c r="C202" s="46" t="s">
        <v>58</v>
      </c>
    </row>
    <row r="203" spans="1:3" ht="15">
      <c r="A203">
        <v>23</v>
      </c>
      <c r="B203" s="59" t="s">
        <v>186</v>
      </c>
      <c r="C203" s="59" t="s">
        <v>59</v>
      </c>
    </row>
    <row r="204" spans="1:3" ht="15">
      <c r="A204">
        <v>24</v>
      </c>
      <c r="B204" s="59" t="s">
        <v>187</v>
      </c>
      <c r="C204" s="46" t="s">
        <v>60</v>
      </c>
    </row>
    <row r="205" spans="1:3" ht="15">
      <c r="A205">
        <v>25</v>
      </c>
      <c r="B205" s="48" t="s">
        <v>173</v>
      </c>
      <c r="C205" s="48" t="s">
        <v>61</v>
      </c>
    </row>
    <row r="206" spans="1:3" ht="15">
      <c r="A206">
        <v>26</v>
      </c>
      <c r="B206" s="59" t="s">
        <v>188</v>
      </c>
      <c r="C206" s="46" t="s">
        <v>62</v>
      </c>
    </row>
    <row r="207" spans="1:3" ht="15">
      <c r="A207">
        <v>27</v>
      </c>
      <c r="B207" s="59" t="s">
        <v>186</v>
      </c>
      <c r="C207" s="59" t="s">
        <v>59</v>
      </c>
    </row>
    <row r="208" spans="1:3" ht="15">
      <c r="A208">
        <v>28</v>
      </c>
      <c r="B208" s="59" t="s">
        <v>189</v>
      </c>
      <c r="C208" s="46" t="s">
        <v>63</v>
      </c>
    </row>
    <row r="209" spans="1:3" ht="15">
      <c r="A209">
        <v>29</v>
      </c>
      <c r="B209" s="59" t="s">
        <v>190</v>
      </c>
      <c r="C209" s="46" t="s">
        <v>64</v>
      </c>
    </row>
    <row r="210" spans="1:3" ht="15">
      <c r="A210">
        <v>30</v>
      </c>
      <c r="B210" s="59" t="s">
        <v>187</v>
      </c>
      <c r="C210" s="46" t="s">
        <v>60</v>
      </c>
    </row>
    <row r="211" spans="1:3" ht="15">
      <c r="A211">
        <v>31</v>
      </c>
      <c r="B211" s="48" t="s">
        <v>191</v>
      </c>
      <c r="C211" s="48" t="s">
        <v>65</v>
      </c>
    </row>
    <row r="212" spans="1:3" ht="15">
      <c r="A212">
        <v>32</v>
      </c>
      <c r="B212" s="48" t="s">
        <v>174</v>
      </c>
      <c r="C212" s="48" t="s">
        <v>66</v>
      </c>
    </row>
    <row r="213" spans="1:3" ht="15">
      <c r="A213">
        <v>33</v>
      </c>
      <c r="B213" s="18" t="s">
        <v>279</v>
      </c>
      <c r="C213" s="18" t="s">
        <v>67</v>
      </c>
    </row>
    <row r="214" spans="1:3" ht="15">
      <c r="A214">
        <v>34</v>
      </c>
      <c r="B214" s="59" t="s">
        <v>314</v>
      </c>
      <c r="C214" s="59" t="s">
        <v>311</v>
      </c>
    </row>
    <row r="215" spans="1:3" ht="15">
      <c r="A215">
        <v>35</v>
      </c>
      <c r="B215" s="59" t="s">
        <v>312</v>
      </c>
      <c r="C215" s="59" t="s">
        <v>300</v>
      </c>
    </row>
    <row r="216" spans="1:3" ht="15">
      <c r="A216">
        <v>36</v>
      </c>
      <c r="B216" s="59" t="s">
        <v>314</v>
      </c>
      <c r="C216" s="59" t="s">
        <v>311</v>
      </c>
    </row>
    <row r="217" spans="2:3" ht="15">
      <c r="B217" s="18"/>
      <c r="C217" s="18"/>
    </row>
    <row r="218" spans="2:3" s="77" customFormat="1" ht="15">
      <c r="B218" s="77" t="s">
        <v>289</v>
      </c>
      <c r="C218" s="77" t="s">
        <v>167</v>
      </c>
    </row>
    <row r="219" spans="1:3" ht="15">
      <c r="A219">
        <v>1</v>
      </c>
      <c r="B219" t="s">
        <v>152</v>
      </c>
      <c r="C219" t="s">
        <v>297</v>
      </c>
    </row>
    <row r="220" spans="1:3" ht="15">
      <c r="A220">
        <v>2</v>
      </c>
      <c r="B220" s="49" t="s">
        <v>228</v>
      </c>
      <c r="C220" s="49" t="s">
        <v>68</v>
      </c>
    </row>
    <row r="221" spans="1:3" ht="15">
      <c r="A221">
        <v>3</v>
      </c>
      <c r="B221" s="50" t="s">
        <v>229</v>
      </c>
      <c r="C221" s="50" t="s">
        <v>106</v>
      </c>
    </row>
    <row r="222" spans="1:3" ht="15">
      <c r="A222">
        <v>4</v>
      </c>
      <c r="B222" s="51" t="s">
        <v>236</v>
      </c>
      <c r="C222" s="54" t="s">
        <v>69</v>
      </c>
    </row>
    <row r="223" spans="1:3" ht="15">
      <c r="A223">
        <v>5</v>
      </c>
      <c r="B223" s="51" t="s">
        <v>237</v>
      </c>
      <c r="C223" s="54" t="s">
        <v>70</v>
      </c>
    </row>
    <row r="224" spans="1:3" ht="15">
      <c r="A224">
        <v>6</v>
      </c>
      <c r="B224" s="51" t="s">
        <v>206</v>
      </c>
      <c r="C224" s="54" t="s">
        <v>30</v>
      </c>
    </row>
    <row r="225" spans="1:3" ht="15">
      <c r="A225">
        <v>7</v>
      </c>
      <c r="B225" s="51" t="s">
        <v>231</v>
      </c>
      <c r="C225" s="54" t="s">
        <v>71</v>
      </c>
    </row>
    <row r="226" spans="1:3" ht="15">
      <c r="A226">
        <v>8</v>
      </c>
      <c r="B226" s="51" t="s">
        <v>280</v>
      </c>
      <c r="C226" s="54" t="s">
        <v>72</v>
      </c>
    </row>
    <row r="227" spans="1:3" ht="15">
      <c r="A227">
        <v>9</v>
      </c>
      <c r="B227" s="51" t="s">
        <v>232</v>
      </c>
      <c r="C227" s="54" t="s">
        <v>73</v>
      </c>
    </row>
    <row r="228" spans="1:3" ht="15">
      <c r="A228">
        <v>10</v>
      </c>
      <c r="B228" s="51" t="s">
        <v>238</v>
      </c>
      <c r="C228" s="54" t="s">
        <v>75</v>
      </c>
    </row>
    <row r="229" spans="1:3" ht="15">
      <c r="A229">
        <v>11</v>
      </c>
      <c r="B229" s="51" t="s">
        <v>239</v>
      </c>
      <c r="C229" s="54" t="s">
        <v>76</v>
      </c>
    </row>
    <row r="230" spans="1:3" ht="15">
      <c r="A230">
        <v>12</v>
      </c>
      <c r="B230" s="51" t="s">
        <v>240</v>
      </c>
      <c r="C230" s="54" t="s">
        <v>74</v>
      </c>
    </row>
    <row r="231" spans="1:3" ht="15">
      <c r="A231">
        <v>13</v>
      </c>
      <c r="B231" s="51" t="s">
        <v>230</v>
      </c>
      <c r="C231" s="54" t="s">
        <v>77</v>
      </c>
    </row>
    <row r="232" spans="1:3" ht="15">
      <c r="A232">
        <v>14</v>
      </c>
      <c r="B232" s="52" t="s">
        <v>241</v>
      </c>
      <c r="C232" s="54" t="s">
        <v>119</v>
      </c>
    </row>
    <row r="233" spans="1:3" ht="15">
      <c r="A233">
        <v>15</v>
      </c>
      <c r="B233" s="52" t="s">
        <v>242</v>
      </c>
      <c r="C233" s="54" t="s">
        <v>125</v>
      </c>
    </row>
    <row r="234" spans="1:3" ht="15">
      <c r="A234">
        <v>16</v>
      </c>
      <c r="B234" s="52" t="s">
        <v>247</v>
      </c>
      <c r="C234" s="54" t="s">
        <v>127</v>
      </c>
    </row>
    <row r="235" spans="1:3" ht="15">
      <c r="A235">
        <v>17</v>
      </c>
      <c r="B235" s="51" t="s">
        <v>243</v>
      </c>
      <c r="C235" s="54" t="s">
        <v>126</v>
      </c>
    </row>
    <row r="236" spans="1:3" ht="15">
      <c r="A236">
        <v>18</v>
      </c>
      <c r="B236" s="51" t="s">
        <v>315</v>
      </c>
      <c r="C236" s="54" t="s">
        <v>302</v>
      </c>
    </row>
    <row r="237" spans="1:3" ht="15">
      <c r="A237">
        <v>19</v>
      </c>
      <c r="B237" s="51" t="s">
        <v>248</v>
      </c>
      <c r="C237" s="54" t="s">
        <v>120</v>
      </c>
    </row>
    <row r="238" spans="1:3" ht="15">
      <c r="A238">
        <v>20</v>
      </c>
      <c r="B238" s="52" t="s">
        <v>245</v>
      </c>
      <c r="C238" s="54" t="s">
        <v>121</v>
      </c>
    </row>
    <row r="239" spans="1:3" ht="15">
      <c r="A239">
        <v>21</v>
      </c>
      <c r="B239" s="51" t="s">
        <v>246</v>
      </c>
      <c r="C239" s="54" t="s">
        <v>78</v>
      </c>
    </row>
    <row r="240" spans="1:3" ht="15">
      <c r="A240">
        <v>22</v>
      </c>
      <c r="B240" s="51" t="s">
        <v>249</v>
      </c>
      <c r="C240" s="54" t="s">
        <v>82</v>
      </c>
    </row>
    <row r="241" spans="1:3" ht="15">
      <c r="A241">
        <v>23</v>
      </c>
      <c r="B241" s="51" t="s">
        <v>219</v>
      </c>
      <c r="C241" s="54" t="s">
        <v>21</v>
      </c>
    </row>
    <row r="242" spans="1:3" ht="15">
      <c r="A242">
        <v>24</v>
      </c>
      <c r="B242" s="50"/>
      <c r="C242" s="50"/>
    </row>
    <row r="243" spans="1:3" ht="15">
      <c r="A243">
        <v>25</v>
      </c>
      <c r="B243" s="50" t="s">
        <v>233</v>
      </c>
      <c r="C243" s="50" t="s">
        <v>85</v>
      </c>
    </row>
    <row r="244" spans="1:3" ht="15">
      <c r="A244">
        <v>26</v>
      </c>
      <c r="B244" s="51" t="s">
        <v>250</v>
      </c>
      <c r="C244" s="54" t="s">
        <v>86</v>
      </c>
    </row>
    <row r="245" spans="1:3" ht="15">
      <c r="A245">
        <v>27</v>
      </c>
      <c r="B245" s="51" t="s">
        <v>251</v>
      </c>
      <c r="C245" s="54" t="s">
        <v>87</v>
      </c>
    </row>
    <row r="246" spans="1:3" ht="15">
      <c r="A246">
        <v>28</v>
      </c>
      <c r="B246" s="51" t="s">
        <v>252</v>
      </c>
      <c r="C246" s="54" t="s">
        <v>88</v>
      </c>
    </row>
    <row r="247" spans="1:3" ht="15">
      <c r="A247">
        <v>29</v>
      </c>
      <c r="B247" s="51" t="s">
        <v>253</v>
      </c>
      <c r="C247" s="54" t="s">
        <v>89</v>
      </c>
    </row>
    <row r="248" spans="1:3" ht="15">
      <c r="A248">
        <v>30</v>
      </c>
      <c r="B248" s="60" t="s">
        <v>282</v>
      </c>
      <c r="C248" s="60" t="s">
        <v>122</v>
      </c>
    </row>
    <row r="249" spans="1:3" ht="15">
      <c r="A249">
        <v>31</v>
      </c>
      <c r="B249" s="51" t="s">
        <v>283</v>
      </c>
      <c r="C249" s="60" t="s">
        <v>129</v>
      </c>
    </row>
    <row r="250" spans="1:3" ht="15">
      <c r="A250">
        <v>32</v>
      </c>
      <c r="B250" s="51" t="s">
        <v>284</v>
      </c>
      <c r="C250" s="60" t="s">
        <v>130</v>
      </c>
    </row>
    <row r="251" spans="1:3" ht="15">
      <c r="A251">
        <v>33</v>
      </c>
      <c r="B251" s="51" t="s">
        <v>261</v>
      </c>
      <c r="C251" s="60" t="s">
        <v>92</v>
      </c>
    </row>
    <row r="252" spans="1:3" ht="15">
      <c r="A252">
        <v>34</v>
      </c>
      <c r="B252" s="51" t="s">
        <v>255</v>
      </c>
      <c r="C252" s="54" t="s">
        <v>91</v>
      </c>
    </row>
    <row r="253" spans="1:3" ht="15">
      <c r="A253">
        <v>35</v>
      </c>
      <c r="B253" s="51" t="s">
        <v>285</v>
      </c>
      <c r="C253" s="54" t="s">
        <v>123</v>
      </c>
    </row>
    <row r="254" spans="1:3" ht="15">
      <c r="A254">
        <v>36</v>
      </c>
      <c r="B254" s="51"/>
      <c r="C254" s="50"/>
    </row>
    <row r="255" spans="1:3" ht="15">
      <c r="A255">
        <v>37</v>
      </c>
      <c r="B255" s="50" t="s">
        <v>234</v>
      </c>
      <c r="C255" s="50" t="s">
        <v>94</v>
      </c>
    </row>
    <row r="256" spans="1:3" ht="15">
      <c r="A256">
        <v>38</v>
      </c>
      <c r="B256" s="51" t="s">
        <v>265</v>
      </c>
      <c r="C256" s="54" t="s">
        <v>96</v>
      </c>
    </row>
    <row r="257" spans="1:3" ht="15">
      <c r="A257">
        <v>39</v>
      </c>
      <c r="B257" s="52" t="s">
        <v>266</v>
      </c>
      <c r="C257" s="54" t="s">
        <v>97</v>
      </c>
    </row>
    <row r="258" spans="1:3" ht="15">
      <c r="A258">
        <v>40</v>
      </c>
      <c r="B258" s="51" t="s">
        <v>257</v>
      </c>
      <c r="C258" s="54" t="s">
        <v>99</v>
      </c>
    </row>
    <row r="259" spans="1:3" ht="15">
      <c r="A259">
        <v>41</v>
      </c>
      <c r="B259" s="51" t="s">
        <v>264</v>
      </c>
      <c r="C259" s="54" t="s">
        <v>95</v>
      </c>
    </row>
    <row r="260" spans="1:3" ht="15">
      <c r="A260">
        <v>42</v>
      </c>
      <c r="B260" s="51" t="s">
        <v>287</v>
      </c>
      <c r="C260" s="54" t="s">
        <v>131</v>
      </c>
    </row>
    <row r="261" spans="1:3" ht="15">
      <c r="A261">
        <v>43</v>
      </c>
      <c r="B261" s="51" t="s">
        <v>258</v>
      </c>
      <c r="C261" s="54" t="s">
        <v>100</v>
      </c>
    </row>
    <row r="262" spans="1:3" ht="15">
      <c r="A262">
        <v>44</v>
      </c>
      <c r="B262" s="51" t="s">
        <v>259</v>
      </c>
      <c r="C262" s="55" t="s">
        <v>124</v>
      </c>
    </row>
    <row r="263" spans="1:3" ht="15">
      <c r="A263">
        <v>45</v>
      </c>
      <c r="B263" s="51" t="s">
        <v>261</v>
      </c>
      <c r="C263" s="51" t="s">
        <v>92</v>
      </c>
    </row>
    <row r="264" spans="1:3" ht="15">
      <c r="A264">
        <v>46</v>
      </c>
      <c r="B264" s="50" t="s">
        <v>260</v>
      </c>
      <c r="C264" s="50" t="s">
        <v>102</v>
      </c>
    </row>
    <row r="265" spans="1:3" ht="15">
      <c r="A265">
        <v>47</v>
      </c>
      <c r="B265" s="51" t="s">
        <v>235</v>
      </c>
      <c r="C265" s="51" t="s">
        <v>103</v>
      </c>
    </row>
    <row r="266" spans="1:3" ht="15">
      <c r="A266">
        <v>48</v>
      </c>
      <c r="B266" s="50" t="s">
        <v>268</v>
      </c>
      <c r="C266" s="50" t="s">
        <v>105</v>
      </c>
    </row>
    <row r="267" spans="2:3" ht="15">
      <c r="B267" s="50"/>
      <c r="C267" s="50"/>
    </row>
    <row r="268" spans="1:3" ht="15">
      <c r="A268">
        <v>50</v>
      </c>
      <c r="B268" s="51" t="s">
        <v>316</v>
      </c>
      <c r="C268" s="2" t="s">
        <v>301</v>
      </c>
    </row>
    <row r="269" spans="2:3" ht="15">
      <c r="B269" s="2"/>
      <c r="C269" s="2"/>
    </row>
    <row r="270" spans="2:3" s="78" customFormat="1" ht="15">
      <c r="B270" s="77" t="s">
        <v>161</v>
      </c>
      <c r="C270" s="77" t="s">
        <v>168</v>
      </c>
    </row>
    <row r="271" spans="1:3" ht="15">
      <c r="A271">
        <v>1</v>
      </c>
      <c r="B271" t="s">
        <v>152</v>
      </c>
      <c r="C271" t="s">
        <v>297</v>
      </c>
    </row>
    <row r="272" spans="1:3" ht="15">
      <c r="A272">
        <v>2</v>
      </c>
      <c r="B272" s="36" t="s">
        <v>294</v>
      </c>
      <c r="C272" s="36" t="s">
        <v>295</v>
      </c>
    </row>
    <row r="273" spans="1:3" ht="15">
      <c r="A273">
        <v>3</v>
      </c>
      <c r="B273" s="2" t="s">
        <v>143</v>
      </c>
      <c r="C273" s="2" t="s">
        <v>142</v>
      </c>
    </row>
    <row r="274" spans="1:3" ht="15">
      <c r="A274">
        <v>4</v>
      </c>
      <c r="B274" s="24" t="s">
        <v>107</v>
      </c>
      <c r="C274" s="24" t="s">
        <v>107</v>
      </c>
    </row>
    <row r="275" spans="1:3" ht="15">
      <c r="A275">
        <v>5</v>
      </c>
      <c r="B275" s="24" t="s">
        <v>134</v>
      </c>
      <c r="C275" s="24" t="s">
        <v>134</v>
      </c>
    </row>
    <row r="276" spans="1:3" ht="15">
      <c r="A276">
        <v>6</v>
      </c>
      <c r="B276" s="24" t="s">
        <v>141</v>
      </c>
      <c r="C276" s="24" t="s">
        <v>108</v>
      </c>
    </row>
    <row r="277" spans="1:3" ht="15">
      <c r="A277">
        <v>7</v>
      </c>
      <c r="B277" s="24"/>
      <c r="C277" s="24"/>
    </row>
    <row r="278" spans="1:3" ht="15">
      <c r="A278">
        <v>8</v>
      </c>
      <c r="B278" s="25" t="s">
        <v>145</v>
      </c>
      <c r="C278" s="25" t="s">
        <v>144</v>
      </c>
    </row>
    <row r="279" spans="1:3" ht="15">
      <c r="A279">
        <v>9</v>
      </c>
      <c r="B279" s="56" t="s">
        <v>146</v>
      </c>
      <c r="C279" s="56" t="s">
        <v>137</v>
      </c>
    </row>
    <row r="280" spans="1:3" ht="15">
      <c r="A280">
        <v>10</v>
      </c>
      <c r="B280" s="24" t="s">
        <v>147</v>
      </c>
      <c r="C280" s="24" t="s">
        <v>138</v>
      </c>
    </row>
    <row r="281" spans="1:3" ht="15">
      <c r="A281">
        <v>11</v>
      </c>
      <c r="B281" s="24"/>
      <c r="C281" s="24"/>
    </row>
    <row r="282" spans="1:3" ht="15">
      <c r="A282">
        <v>12</v>
      </c>
      <c r="B282" s="25" t="s">
        <v>149</v>
      </c>
      <c r="C282" s="25" t="s">
        <v>148</v>
      </c>
    </row>
    <row r="283" spans="1:3" ht="15">
      <c r="A283">
        <v>13</v>
      </c>
      <c r="B283" s="24" t="s">
        <v>150</v>
      </c>
      <c r="C283" s="26" t="s">
        <v>139</v>
      </c>
    </row>
    <row r="284" spans="1:3" ht="15">
      <c r="A284">
        <v>14</v>
      </c>
      <c r="B284" s="24" t="s">
        <v>151</v>
      </c>
      <c r="C284" s="26" t="s">
        <v>140</v>
      </c>
    </row>
    <row r="285" spans="2:3" ht="15">
      <c r="B285" s="24"/>
      <c r="C285" s="26"/>
    </row>
    <row r="286" spans="2:3" s="78" customFormat="1" ht="15">
      <c r="B286" s="77" t="s">
        <v>2</v>
      </c>
      <c r="C286" s="77" t="s">
        <v>133</v>
      </c>
    </row>
    <row r="287" spans="1:3" ht="15">
      <c r="A287">
        <v>1</v>
      </c>
      <c r="B287" t="s">
        <v>152</v>
      </c>
      <c r="C287" t="s">
        <v>297</v>
      </c>
    </row>
    <row r="288" spans="1:3" ht="15">
      <c r="A288">
        <v>2</v>
      </c>
      <c r="B288" s="27" t="s">
        <v>2</v>
      </c>
      <c r="C288" s="27" t="s">
        <v>133</v>
      </c>
    </row>
    <row r="289" spans="1:3" ht="15">
      <c r="A289">
        <v>3</v>
      </c>
      <c r="B289" s="2" t="s">
        <v>1</v>
      </c>
      <c r="C289" s="2" t="s">
        <v>296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136</v>
      </c>
      <c r="C291" s="4" t="s">
        <v>135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Iwona Dźwil</cp:lastModifiedBy>
  <dcterms:created xsi:type="dcterms:W3CDTF">2017-06-27T14:11:05Z</dcterms:created>
  <dcterms:modified xsi:type="dcterms:W3CDTF">2019-09-03T10:38:20Z</dcterms:modified>
  <cp:category/>
  <cp:version/>
  <cp:contentType/>
  <cp:contentStatus/>
</cp:coreProperties>
</file>